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Échelle" sheetId="2" state="visible" r:id="rId4"/>
    <sheet name="Référentiel" sheetId="3" state="visible" r:id="rId5"/>
    <sheet name="Matrice" sheetId="4" state="visible" r:id="rId6"/>
    <sheet name="Comparaison" sheetId="5" state="visible" r:id="rId7"/>
    <sheet name="Collaborateur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<sst xmlns="http://schemas.openxmlformats.org/spreadsheetml/2006/main" count="140" uniqueCount="125">
  <si>
    <t xml:space="preserve">Cartographie des métiers et passerelle entre deux métiers : exemple fictif (ressources humaines)</t>
  </si>
  <si>
    <t xml:space="preserve">Objectif : montrer comment décrire des métiers dans un référentiel, comparer deux métiers pour estimer l'effort d'une passerelle, puis comparer un collaborateur réel à un poste visé.</t>
  </si>
  <si>
    <t xml:space="preserve">Onglets</t>
  </si>
  <si>
    <t xml:space="preserve">Échelle : niveaux 0 à 4, avec des descripteurs observables, et qui évalue quoi.</t>
  </si>
  <si>
    <t xml:space="preserve">Référentiel : niveau requis par métier et par compétence, plus la difficulté d'acquisition de chaque compétence. Cellules bleues = à modifier. 4 lignes libres pour ajouter des compétences.</t>
  </si>
  <si>
    <t xml:space="preserve">Matrice : 4 tableaux croisant chaque métier de départ (lignes) et chaque métier visé (colonnes).</t>
  </si>
  <si>
    <t xml:space="preserve">Comparaison : choisir deux métiers (cellules jaunes) ; écarts par compétence, indicateurs et radar. Exemple chargé : Assistant RH généraliste vers Responsable RH.</t>
  </si>
  <si>
    <t xml:space="preserve">Collaborateur : un collaborateur fictif évalué (auto-évaluation, manager, niveau retenu avec preuve), comparé à un poste visé.</t>
  </si>
  <si>
    <t xml:space="preserve">Vocabulaire (trois situations pour chaque compétence exigée par le métier visé)</t>
  </si>
  <si>
    <t xml:space="preserve">Commune : le métier de départ la possède au niveau exigé ou au-dessus. À faire évoluer : il la possède, mais à un niveau inférieur. À acquérir : il est à 0.</t>
  </si>
  <si>
    <t xml:space="preserve">Compétences exigées par le métier visé = communes + à faire évoluer + à acquérir.</t>
  </si>
  <si>
    <t xml:space="preserve">Indicateurs (choix de modélisation de cet exemple, sans source)</t>
  </si>
  <si>
    <t xml:space="preserve">Proximité simple = compétences communes ÷ compétences exigées. Elle ne distingue pas une compétence absente d'une compétence presque atteinte.</t>
  </si>
  <si>
    <t xml:space="preserve">Proximité graduée = points de niveau déjà couverts ÷ points de niveau exigés (pour chaque compétence, on retient le plus petit des deux niveaux).</t>
  </si>
  <si>
    <t xml:space="preserve">Effort pondéré = écart de niveau × difficulté d'acquisition (1 à 3, saisie libre). Il montre que certaines compétences, comme la paie, demandent plus de temps que d'autres.</t>
  </si>
  <si>
    <t xml:space="preserve">Le diagnostic (proche / intermédiaire / éloigné) s'appuie sur la proximité graduée, avec deux seuils modifiables dans l'onglet Comparaison.</t>
  </si>
  <si>
    <t xml:space="preserve">Hypothèses à connaître</t>
  </si>
  <si>
    <t xml:space="preserve">1. Métiers, compétences, niveaux, difficultés, évaluations du collaborateur et exemples sont FICTIFS. Ils servent de gabarit.</t>
  </si>
  <si>
    <t xml:space="preserve">2. Les formules et les seuils ne viennent d'aucune norme. Les sources ci-dessous décrivent la démarche (tableau en trois colonnes, évaluation), pas ces calculs.</t>
  </si>
  <si>
    <t xml:space="preserve">3. Le radar de l'onglet Comparaison couvre les 10 premières compétences. Si vous en ajoutez, étendez la plage de données du graphique.</t>
  </si>
  <si>
    <t xml:space="preserve">4. Un niveau 3 ou 4 devrait s'appuyer sur un exemple concret. En entreprise, l'évaluation doit être croisée (collaborateur, manager) et calibrée pour limiter les biais.</t>
  </si>
  <si>
    <t xml:space="preserve">Sources consultées</t>
  </si>
  <si>
    <t xml:space="preserve">Culture RH, L. Piana, « Mobilité interne : comment repérer les transférabilités de compétences ? », 22 juin 2026 : tableau en trois colonnes (communes, à faire évoluer, à acquérir). https://culture-rh.com/mobilite-interne-reperer-transferabilites-competences</t>
  </si>
  <si>
    <t xml:space="preserve">Culture RH, L. Piana, « Cartographie des compétences : comment la construire ? », 31 juillet 2025 : référentiel construit collectivement, échelle partagée, évaluation lors des entretiens. https://culture-rh.com/construire-cartographie-competences/</t>
  </si>
  <si>
    <t xml:space="preserve">Mercateam, S. Furlan, « How do you build a skills self-assessment grid? », 1er avril 2026 (éditeur de logiciel) : descripteurs observables, exemple concret pour les niveaux élevés, croisement auto-évaluation et manager. https://merca.team/en/competency-self-assessment-grid/</t>
  </si>
  <si>
    <t xml:space="preserve">People Managing People, L. Lockhart Lance, « Calibrage de la performance », 8 mai 2026 : calibration entre managers et RH. https://peoplemanagingpeople.com/fr/gestion-performance/calibration-performance/</t>
  </si>
  <si>
    <t xml:space="preserve">Neobrain, P.-L. Quentin (sans date, éditeur de logiciel) : l'effort de passerelle croît avec le nombre et la technicité des compétences à acquérir. https://www.neobrain.io/en/blog/career-pathways</t>
  </si>
  <si>
    <t xml:space="preserve">Échelle de niveaux et qui évalue quoi</t>
  </si>
  <si>
    <t xml:space="preserve">Descripteurs d'illustration, inspirés de ceux de Mercateam (1er avril 2026) et adaptés. À co-écrire avec les managers pour un usage réel.</t>
  </si>
  <si>
    <t xml:space="preserve">Niveau</t>
  </si>
  <si>
    <t xml:space="preserve">Libellé</t>
  </si>
  <si>
    <t xml:space="preserve">Descripteur observable</t>
  </si>
  <si>
    <t xml:space="preserve">Non requise</t>
  </si>
  <si>
    <t xml:space="preserve">La compétence n'est pas mobilisée dans ce poste.</t>
  </si>
  <si>
    <t xml:space="preserve">Notions</t>
  </si>
  <si>
    <t xml:space="preserve">Connaît les principes. Réalise la tâche avec un appui constant.</t>
  </si>
  <si>
    <t xml:space="preserve">Pratique</t>
  </si>
  <si>
    <t xml:space="preserve">Réalise seul les situations courantes. Demande de l'aide pour les cas inhabituels.</t>
  </si>
  <si>
    <t xml:space="preserve">Autonome</t>
  </si>
  <si>
    <t xml:space="preserve">Maîtrise complète. Traite les cas imprévus et peut former un collègue.</t>
  </si>
  <si>
    <t xml:space="preserve">Expert</t>
  </si>
  <si>
    <t xml:space="preserve">Référent pour les cas complexes. Fait évoluer les pratiques de l'équipe.</t>
  </si>
  <si>
    <t xml:space="preserve">Qui évalue quoi</t>
  </si>
  <si>
    <t xml:space="preserve">Niveau requis pour un poste (Référentiel)</t>
  </si>
  <si>
    <t xml:space="preserve">Construit collectivement : RH, responsables formation, managers, experts métier (Culture RH, 31/07/2025).</t>
  </si>
  <si>
    <t xml:space="preserve">Niveau réel d'un collaborateur</t>
  </si>
  <si>
    <t xml:space="preserve">Auto-évaluation + évaluation du manager, par observation du travail. Les RH croisent les deux (Mercateam, 01/04/2026).</t>
  </si>
  <si>
    <t xml:space="preserve">Niveau retenu</t>
  </si>
  <si>
    <t xml:space="preserve">Fixé après discussion en entretien, avec un exemple concret pour tout niveau 3 ou 4 et sur une période définie (par exemple 6 mois).</t>
  </si>
  <si>
    <t xml:space="preserve">Limiter les erreurs</t>
  </si>
  <si>
    <t xml:space="preserve">Calibration entre managers et RH pour qu'un même niveau reçoive la même note (People Managing People, 08/05/2026). Biais cités : indulgence, sévérité, récence.</t>
  </si>
  <si>
    <t xml:space="preserve">Référentiel : niveau requis par métier (0 à 4) et difficulté d'acquisition</t>
  </si>
  <si>
    <t xml:space="preserve">Cellules bleues = à modifier (données fictives). Échelle détaillée dans l'onglet Échelle. 4 lignes libres en bas : ajoutez-y de nouvelles compétences (0 = non requise).</t>
  </si>
  <si>
    <t xml:space="preserve">Compétence</t>
  </si>
  <si>
    <t xml:space="preserve">Assistant RH généraliste</t>
  </si>
  <si>
    <t xml:space="preserve">Chargé de mission RH</t>
  </si>
  <si>
    <t xml:space="preserve">Gestionnaire de paie</t>
  </si>
  <si>
    <t xml:space="preserve">Chargé de recrutement</t>
  </si>
  <si>
    <t xml:space="preserve">Responsable RH</t>
  </si>
  <si>
    <t xml:space="preserve">Difficulté d'acquisition (1 à 3)</t>
  </si>
  <si>
    <t xml:space="preserve">Administration du personnel</t>
  </si>
  <si>
    <t xml:space="preserve">Paie et déclarations sociales</t>
  </si>
  <si>
    <t xml:space="preserve">Recrutement et intégration</t>
  </si>
  <si>
    <t xml:space="preserve">Formation et développement des compétences</t>
  </si>
  <si>
    <t xml:space="preserve">Droit du travail</t>
  </si>
  <si>
    <t xml:space="preserve">Relations sociales (IRP)</t>
  </si>
  <si>
    <t xml:space="preserve">SIRH et analyse de données</t>
  </si>
  <si>
    <t xml:space="preserve">Conduite de projet RH</t>
  </si>
  <si>
    <t xml:space="preserve">Management d'équipe</t>
  </si>
  <si>
    <t xml:space="preserve">Pilotage et stratégie RH</t>
  </si>
  <si>
    <t xml:space="preserve">Matrice des passerelles entre métiers</t>
  </si>
  <si>
    <t xml:space="preserve">Lecture : ligne = métier de départ, colonne = métier visé. La diagonale compare un métier à lui-même.</t>
  </si>
  <si>
    <t xml:space="preserve">1. Proximité simple : compétences exigées par le métier visé déjà au niveau suffisant, en %</t>
  </si>
  <si>
    <t xml:space="preserve">Départ \ Visé</t>
  </si>
  <si>
    <t xml:space="preserve">2. Proximité graduée : points de niveau exigés par le métier visé déjà couverts, en %</t>
  </si>
  <si>
    <t xml:space="preserve">3. Compétences À ACQUÉRIR : exigées par le métier visé, absentes du métier de départ (niveau 0)</t>
  </si>
  <si>
    <t xml:space="preserve">4. Compétences À FAIRE ÉVOLUER : présentes dans le métier de départ, mais à un niveau inférieur à celui exigé</t>
  </si>
  <si>
    <t xml:space="preserve">Lien entre les tableaux : exigées = communes + à faire évoluer + à acquérir. Proximité simple = communes ÷ exigées.</t>
  </si>
  <si>
    <t xml:space="preserve">Exemple : Assistant RH généraliste vers Chargé de mission RH = 8 exigées = 3 communes + 4 à faire évoluer + 1 à acquérir ; proximité simple 38 %.</t>
  </si>
  <si>
    <t xml:space="preserve">Comparaison de deux métiers : passerelle, indicateurs et radar</t>
  </si>
  <si>
    <t xml:space="preserve">Métier de départ</t>
  </si>
  <si>
    <t xml:space="preserve">← choisir dans la liste (cellules jaunes)</t>
  </si>
  <si>
    <t xml:space="preserve">Métier visé</t>
  </si>
  <si>
    <t xml:space="preserve">Niveau départ</t>
  </si>
  <si>
    <t xml:space="preserve">Niveau visé</t>
  </si>
  <si>
    <t xml:space="preserve">Statut</t>
  </si>
  <si>
    <t xml:space="preserve">Écart (points)</t>
  </si>
  <si>
    <t xml:space="preserve">Difficulté (1 à 3)</t>
  </si>
  <si>
    <t xml:space="preserve">Effort pondéré</t>
  </si>
  <si>
    <t xml:space="preserve">Niveau visé × difficulté</t>
  </si>
  <si>
    <t xml:space="preserve">Points couverts</t>
  </si>
  <si>
    <t xml:space="preserve">Compétences exigées par le métier visé</t>
  </si>
  <si>
    <t xml:space="preserve">Communes (niveau suffisant)</t>
  </si>
  <si>
    <t xml:space="preserve">À faire évoluer</t>
  </si>
  <si>
    <t xml:space="preserve">À acquérir</t>
  </si>
  <si>
    <t xml:space="preserve">Proximité simple</t>
  </si>
  <si>
    <t xml:space="preserve">Proximité graduée</t>
  </si>
  <si>
    <t xml:space="preserve">Points de niveau restant à gagner</t>
  </si>
  <si>
    <t xml:space="preserve">Effort restant pondéré (points × difficulté)</t>
  </si>
  <si>
    <t xml:space="preserve">Avancement pondéré</t>
  </si>
  <si>
    <t xml:space="preserve">Compétence au plus fort effort pondéré</t>
  </si>
  <si>
    <t xml:space="preserve">Seuil « proche » (modifiable)</t>
  </si>
  <si>
    <t xml:space="preserve">Seuil « intermédiaire » (modifiable)</t>
  </si>
  <si>
    <t xml:space="preserve">Diagnostic (sur la proximité graduée)</t>
  </si>
  <si>
    <t xml:space="preserve">Formules, seuils et difficultés : choix d'illustration, non issus d'une source. Niveaux fictifs. Ex-aequo sur l'effort le plus fort : la première compétence de la liste est affichée.</t>
  </si>
  <si>
    <t xml:space="preserve">Collaborateur : niveau réel évalué et comparaison à un poste visé</t>
  </si>
  <si>
    <t xml:space="preserve">Collaborateur et évaluations fictifs. Bleu = à saisir. Niveau retenu = fixé après entretien et calibration ; niveau 3 ou 4 = exemple concret attendu.</t>
  </si>
  <si>
    <t xml:space="preserve">Collaborateur</t>
  </si>
  <si>
    <t xml:space="preserve">Collaborateur A (fictif)</t>
  </si>
  <si>
    <t xml:space="preserve">Poste actuel</t>
  </si>
  <si>
    <t xml:space="preserve">Poste visé</t>
  </si>
  <si>
    <t xml:space="preserve">Niveau requis poste actuel</t>
  </si>
  <si>
    <t xml:space="preserve">Auto-évaluation</t>
  </si>
  <si>
    <t xml:space="preserve">Évaluation manager</t>
  </si>
  <si>
    <t xml:space="preserve">Écart (auto − manager)</t>
  </si>
  <si>
    <t xml:space="preserve">Niveau retenu (après entretien)</t>
  </si>
  <si>
    <t xml:space="preserve">Exemple concret ou preuve</t>
  </si>
  <si>
    <t xml:space="preserve">Alerte</t>
  </si>
  <si>
    <t xml:space="preserve">Niveau requis poste visé</t>
  </si>
  <si>
    <t xml:space="preserve">Statut (retenu vs visé)</t>
  </si>
  <si>
    <t xml:space="preserve">A géré seul les DPAE et contrats de l'équipe sur 6 mois (exemple fictif).</t>
  </si>
  <si>
    <t xml:space="preserve">A bouclé seul la paie de 3 mois consécutifs (exemple fictif).</t>
  </si>
  <si>
    <t xml:space="preserve">Compétences exigées par le poste visé</t>
  </si>
  <si>
    <t xml:space="preserve">À évaluer (niveau retenu manquant)</t>
  </si>
  <si>
    <t xml:space="preserve">Ici, le départ est le niveau retenu du collaborateur, pas le niveau requis de son poste actuel : c'est ce qui rend la passerelle réaliste. Données fictives.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</si>
</sst>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"/>
    <numFmt numFmtId="167" formatCode="@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EB9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Niveaux requis : métier de départ vs métier visé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Comparaison!B6</c:f>
              <c:strCache>
                <c:ptCount val="1"/>
                <c:pt idx="0">
                  <c:v>Niveau départ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Comparaison!$A$7:$A$16</c:f>
              <c:strCache>
                <c:ptCount val="10"/>
                <c:pt idx="0">
                  <c:v>Administration du personnel</c:v>
                </c:pt>
                <c:pt idx="1">
                  <c:v>Paie et déclarations sociales</c:v>
                </c:pt>
                <c:pt idx="2">
                  <c:v>Recrutement et intégration</c:v>
                </c:pt>
                <c:pt idx="3">
                  <c:v>Formation et développement des compétences</c:v>
                </c:pt>
                <c:pt idx="4">
                  <c:v>Droit du travail</c:v>
                </c:pt>
                <c:pt idx="5">
                  <c:v>Relations sociales (IRP)</c:v>
                </c:pt>
                <c:pt idx="6">
                  <c:v>SIRH et analyse de données</c:v>
                </c:pt>
                <c:pt idx="7">
                  <c:v>Conduite de projet RH</c:v>
                </c:pt>
                <c:pt idx="8">
                  <c:v>Management d'équipe</c:v>
                </c:pt>
                <c:pt idx="9">
                  <c:v>Pilotage et stratégie RH</c:v>
                </c:pt>
              </c:strCache>
            </c:strRef>
          </c:cat>
          <c:val>
            <c:numRef>
              <c:f>Comparaison!$B$7:$B$16</c:f>
              <c:numCache>
                <c:formatCode>General</c:formatCode>
                <c:ptCount val="10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Comparaison!C6</c:f>
              <c:strCache>
                <c:ptCount val="1"/>
                <c:pt idx="0">
                  <c:v>Niveau visé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Comparaison!$A$7:$A$16</c:f>
              <c:strCache>
                <c:ptCount val="10"/>
                <c:pt idx="0">
                  <c:v>Administration du personnel</c:v>
                </c:pt>
                <c:pt idx="1">
                  <c:v>Paie et déclarations sociales</c:v>
                </c:pt>
                <c:pt idx="2">
                  <c:v>Recrutement et intégration</c:v>
                </c:pt>
                <c:pt idx="3">
                  <c:v>Formation et développement des compétences</c:v>
                </c:pt>
                <c:pt idx="4">
                  <c:v>Droit du travail</c:v>
                </c:pt>
                <c:pt idx="5">
                  <c:v>Relations sociales (IRP)</c:v>
                </c:pt>
                <c:pt idx="6">
                  <c:v>SIRH et analyse de données</c:v>
                </c:pt>
                <c:pt idx="7">
                  <c:v>Conduite de projet RH</c:v>
                </c:pt>
                <c:pt idx="8">
                  <c:v>Management d'équipe</c:v>
                </c:pt>
                <c:pt idx="9">
                  <c:v>Pilotage et stratégie RH</c:v>
                </c:pt>
              </c:strCache>
            </c:strRef>
          </c:cat>
          <c:val>
            <c:numRef>
              <c:f>Comparaison!$C$7:$C$16</c:f>
              <c:numCache>
                <c:formatCode>General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</c:ser>
        <c:axId val="91558299"/>
        <c:axId val="88619143"/>
      </c:radarChart>
      <c:catAx>
        <c:axId val="9155829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619143"/>
        <c:crosses val="autoZero"/>
        <c:auto val="1"/>
        <c:lblAlgn val="ctr"/>
        <c:lblOffset val="100"/>
        <c:noMultiLvlLbl val="0"/>
      </c:catAx>
      <c:valAx>
        <c:axId val="88619143"/>
        <c:scaling>
          <c:orientation val="minMax"/>
          <c:max val="4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558299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Collaborateur (niveau retenu) vs poste visé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Collaborateur!F7</c:f>
              <c:strCache>
                <c:ptCount val="1"/>
                <c:pt idx="0">
                  <c:v>Niveau retenu (après entretien)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Collaborateur!$A$8:$A$17</c:f>
              <c:strCache>
                <c:ptCount val="10"/>
                <c:pt idx="0">
                  <c:v>Administration du personnel</c:v>
                </c:pt>
                <c:pt idx="1">
                  <c:v>Paie et déclarations sociales</c:v>
                </c:pt>
                <c:pt idx="2">
                  <c:v>Recrutement et intégration</c:v>
                </c:pt>
                <c:pt idx="3">
                  <c:v>Formation et développement des compétences</c:v>
                </c:pt>
                <c:pt idx="4">
                  <c:v>Droit du travail</c:v>
                </c:pt>
                <c:pt idx="5">
                  <c:v>Relations sociales (IRP)</c:v>
                </c:pt>
                <c:pt idx="6">
                  <c:v>SIRH et analyse de données</c:v>
                </c:pt>
                <c:pt idx="7">
                  <c:v>Conduite de projet RH</c:v>
                </c:pt>
                <c:pt idx="8">
                  <c:v>Management d'équipe</c:v>
                </c:pt>
                <c:pt idx="9">
                  <c:v>Pilotage et stratégie RH</c:v>
                </c:pt>
              </c:strCache>
            </c:strRef>
          </c:cat>
          <c:val>
            <c:numRef>
              <c:f>Collaborateur!$F$8:$F$17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Collaborateur!I7</c:f>
              <c:strCache>
                <c:ptCount val="1"/>
                <c:pt idx="0">
                  <c:v>Niveau requis poste visé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Collaborateur!$A$8:$A$17</c:f>
              <c:strCache>
                <c:ptCount val="10"/>
                <c:pt idx="0">
                  <c:v>Administration du personnel</c:v>
                </c:pt>
                <c:pt idx="1">
                  <c:v>Paie et déclarations sociales</c:v>
                </c:pt>
                <c:pt idx="2">
                  <c:v>Recrutement et intégration</c:v>
                </c:pt>
                <c:pt idx="3">
                  <c:v>Formation et développement des compétences</c:v>
                </c:pt>
                <c:pt idx="4">
                  <c:v>Droit du travail</c:v>
                </c:pt>
                <c:pt idx="5">
                  <c:v>Relations sociales (IRP)</c:v>
                </c:pt>
                <c:pt idx="6">
                  <c:v>SIRH et analyse de données</c:v>
                </c:pt>
                <c:pt idx="7">
                  <c:v>Conduite de projet RH</c:v>
                </c:pt>
                <c:pt idx="8">
                  <c:v>Management d'équipe</c:v>
                </c:pt>
                <c:pt idx="9">
                  <c:v>Pilotage et stratégie RH</c:v>
                </c:pt>
              </c:strCache>
            </c:strRef>
          </c:cat>
          <c:val>
            <c:numRef>
              <c:f>Collaborateur!$I$8:$I$17</c:f>
              <c:numCache>
                <c:formatCode>General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</c:ser>
        <c:axId val="4673633"/>
        <c:axId val="71277450"/>
      </c:radarChart>
      <c:catAx>
        <c:axId val="467363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277450"/>
        <c:crosses val="autoZero"/>
        <c:auto val="1"/>
        <c:lblAlgn val="ctr"/>
        <c:lblOffset val="100"/>
        <c:noMultiLvlLbl val="0"/>
      </c:catAx>
      <c:valAx>
        <c:axId val="71277450"/>
        <c:scaling>
          <c:orientation val="minMax"/>
          <c:max val="4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73633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1</xdr:row>
      <xdr:rowOff>160560</xdr:rowOff>
    </xdr:from>
    <xdr:to>
      <xdr:col>20</xdr:col>
      <xdr:colOff>364680</xdr:colOff>
      <xdr:row>22</xdr:row>
      <xdr:rowOff>98640</xdr:rowOff>
    </xdr:to>
    <xdr:graphicFrame>
      <xdr:nvGraphicFramePr>
        <xdr:cNvPr id="0" name="Chart 1"/>
        <xdr:cNvGraphicFramePr/>
      </xdr:nvGraphicFramePr>
      <xdr:xfrm>
        <a:off x="14356080" y="380880"/>
        <a:ext cx="64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50400</xdr:rowOff>
    </xdr:from>
    <xdr:to>
      <xdr:col>3</xdr:col>
      <xdr:colOff>488520</xdr:colOff>
      <xdr:row>53</xdr:row>
      <xdr:rowOff>178920</xdr:rowOff>
    </xdr:to>
    <xdr:graphicFrame>
      <xdr:nvGraphicFramePr>
        <xdr:cNvPr id="1" name="Chart 1"/>
        <xdr:cNvGraphicFramePr/>
      </xdr:nvGraphicFramePr>
      <xdr:xfrm>
        <a:off x="0" y="6829560"/>
        <a:ext cx="64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32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6.8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2" t="s">
        <v>3</v>
      </c>
    </row>
    <row r="7" customFormat="false" ht="26.8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26.8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26.8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11</v>
      </c>
    </row>
    <row r="17" customFormat="false" ht="26.85" hidden="false" customHeight="false" outlineLevel="0" collapsed="false">
      <c r="A17" s="2" t="s">
        <v>12</v>
      </c>
    </row>
    <row r="18" customFormat="false" ht="26.85" hidden="false" customHeight="false" outlineLevel="0" collapsed="false">
      <c r="A18" s="2" t="s">
        <v>13</v>
      </c>
    </row>
    <row r="19" customFormat="false" ht="26.85" hidden="false" customHeight="false" outlineLevel="0" collapsed="false">
      <c r="A19" s="2" t="s">
        <v>14</v>
      </c>
    </row>
    <row r="20" customFormat="false" ht="26.8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2"/>
    </row>
    <row r="22" customFormat="false" ht="15" hidden="false" customHeight="false" outlineLevel="0" collapsed="false">
      <c r="A22" s="3" t="s">
        <v>16</v>
      </c>
    </row>
    <row r="23" customFormat="false" ht="15" hidden="false" customHeight="false" outlineLevel="0" collapsed="false">
      <c r="A23" s="2" t="s">
        <v>17</v>
      </c>
    </row>
    <row r="24" customFormat="false" ht="26.85" hidden="false" customHeight="false" outlineLevel="0" collapsed="false">
      <c r="A24" s="2" t="s">
        <v>18</v>
      </c>
    </row>
    <row r="25" customFormat="false" ht="26.85" hidden="false" customHeight="false" outlineLevel="0" collapsed="false">
      <c r="A25" s="2" t="s">
        <v>19</v>
      </c>
    </row>
    <row r="26" customFormat="false" ht="26.85" hidden="false" customHeight="false" outlineLevel="0" collapsed="false">
      <c r="A26" s="2" t="s">
        <v>20</v>
      </c>
    </row>
    <row r="27" customFormat="false" ht="15" hidden="false" customHeight="false" outlineLevel="0" collapsed="false">
      <c r="A27" s="2"/>
    </row>
    <row r="28" customFormat="false" ht="15" hidden="false" customHeight="false" outlineLevel="0" collapsed="false">
      <c r="A28" s="3" t="s">
        <v>21</v>
      </c>
    </row>
    <row r="29" customFormat="false" ht="26.85" hidden="false" customHeight="false" outlineLevel="0" collapsed="false">
      <c r="A29" s="2" t="s">
        <v>22</v>
      </c>
    </row>
    <row r="30" customFormat="false" ht="26.85" hidden="false" customHeight="false" outlineLevel="0" collapsed="false">
      <c r="A30" s="2" t="s">
        <v>23</v>
      </c>
    </row>
    <row r="31" customFormat="false" ht="39.55" hidden="false" customHeight="false" outlineLevel="0" collapsed="false">
      <c r="A31" s="2" t="s">
        <v>24</v>
      </c>
    </row>
    <row r="32" customFormat="false" ht="26.85" hidden="false" customHeight="false" outlineLevel="0" collapsed="false">
      <c r="A32" s="2" t="s">
        <v>25</v>
      </c>
    </row>
    <row r="33" customFormat="false" ht="26.85" hidden="false" customHeight="false" outlineLevel="0" collapsed="false">
      <c r="A33" s="2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4" t="s">
        <v>27</v>
      </c>
    </row>
    <row r="2" customFormat="false" ht="15" hidden="false" customHeight="false" outlineLevel="0" collapsed="false">
      <c r="A2" s="5" t="s">
        <v>28</v>
      </c>
    </row>
    <row r="4" customFormat="false" ht="30" hidden="false" customHeight="true" outlineLevel="0" collapsed="false">
      <c r="A4" s="6" t="s">
        <v>29</v>
      </c>
      <c r="B4" s="6" t="s">
        <v>30</v>
      </c>
      <c r="C4" s="6" t="s">
        <v>31</v>
      </c>
    </row>
    <row r="5" customFormat="false" ht="15" hidden="false" customHeight="false" outlineLevel="0" collapsed="false">
      <c r="A5" s="7" t="n">
        <v>0</v>
      </c>
      <c r="B5" s="8" t="s">
        <v>32</v>
      </c>
      <c r="C5" s="9" t="s">
        <v>33</v>
      </c>
    </row>
    <row r="6" customFormat="false" ht="15" hidden="false" customHeight="false" outlineLevel="0" collapsed="false">
      <c r="A6" s="7" t="n">
        <v>1</v>
      </c>
      <c r="B6" s="8" t="s">
        <v>34</v>
      </c>
      <c r="C6" s="9" t="s">
        <v>35</v>
      </c>
    </row>
    <row r="7" customFormat="false" ht="15" hidden="false" customHeight="false" outlineLevel="0" collapsed="false">
      <c r="A7" s="7" t="n">
        <v>2</v>
      </c>
      <c r="B7" s="8" t="s">
        <v>36</v>
      </c>
      <c r="C7" s="9" t="s">
        <v>37</v>
      </c>
    </row>
    <row r="8" customFormat="false" ht="15" hidden="false" customHeight="false" outlineLevel="0" collapsed="false">
      <c r="A8" s="7" t="n">
        <v>3</v>
      </c>
      <c r="B8" s="8" t="s">
        <v>38</v>
      </c>
      <c r="C8" s="9" t="s">
        <v>39</v>
      </c>
    </row>
    <row r="9" customFormat="false" ht="15" hidden="false" customHeight="false" outlineLevel="0" collapsed="false">
      <c r="A9" s="7" t="n">
        <v>4</v>
      </c>
      <c r="B9" s="8" t="s">
        <v>40</v>
      </c>
      <c r="C9" s="9" t="s">
        <v>41</v>
      </c>
    </row>
    <row r="12" customFormat="false" ht="15" hidden="false" customHeight="false" outlineLevel="0" collapsed="false">
      <c r="A12" s="10" t="s">
        <v>42</v>
      </c>
    </row>
    <row r="13" customFormat="false" ht="48" hidden="false" customHeight="true" outlineLevel="0" collapsed="false">
      <c r="A13" s="11" t="s">
        <v>43</v>
      </c>
      <c r="B13" s="12" t="s">
        <v>44</v>
      </c>
      <c r="C13" s="12"/>
    </row>
    <row r="14" customFormat="false" ht="48" hidden="false" customHeight="true" outlineLevel="0" collapsed="false">
      <c r="A14" s="11" t="s">
        <v>45</v>
      </c>
      <c r="B14" s="12" t="s">
        <v>46</v>
      </c>
      <c r="C14" s="12"/>
    </row>
    <row r="15" customFormat="false" ht="48" hidden="false" customHeight="true" outlineLevel="0" collapsed="false">
      <c r="A15" s="11" t="s">
        <v>47</v>
      </c>
      <c r="B15" s="12" t="s">
        <v>48</v>
      </c>
      <c r="C15" s="12"/>
    </row>
    <row r="16" customFormat="false" ht="48" hidden="false" customHeight="true" outlineLevel="0" collapsed="false">
      <c r="A16" s="11" t="s">
        <v>49</v>
      </c>
      <c r="B16" s="12" t="s">
        <v>50</v>
      </c>
      <c r="C16" s="12"/>
    </row>
  </sheetData>
  <mergeCells count="4">
    <mergeCell ref="B13:C13"/>
    <mergeCell ref="B14:C14"/>
    <mergeCell ref="B15:C15"/>
    <mergeCell ref="B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6" min="2" style="0" width="18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4" t="s">
        <v>51</v>
      </c>
    </row>
    <row r="2" customFormat="false" ht="15" hidden="false" customHeight="false" outlineLevel="0" collapsed="false">
      <c r="A2" s="5" t="s">
        <v>52</v>
      </c>
    </row>
    <row r="4" customFormat="false" ht="57.75" hidden="false" customHeight="true" outlineLevel="0" collapsed="false">
      <c r="A4" s="6" t="s">
        <v>53</v>
      </c>
      <c r="B4" s="6" t="s">
        <v>54</v>
      </c>
      <c r="C4" s="6" t="s">
        <v>55</v>
      </c>
      <c r="D4" s="6" t="s">
        <v>56</v>
      </c>
      <c r="E4" s="6" t="s">
        <v>57</v>
      </c>
      <c r="F4" s="6" t="s">
        <v>58</v>
      </c>
      <c r="G4" s="6" t="s">
        <v>59</v>
      </c>
    </row>
    <row r="5" customFormat="false" ht="15" hidden="false" customHeight="false" outlineLevel="0" collapsed="false">
      <c r="A5" s="13" t="s">
        <v>60</v>
      </c>
      <c r="B5" s="14" t="n">
        <v>4</v>
      </c>
      <c r="C5" s="14" t="n">
        <v>3</v>
      </c>
      <c r="D5" s="14" t="n">
        <v>3</v>
      </c>
      <c r="E5" s="14" t="n">
        <v>2</v>
      </c>
      <c r="F5" s="14" t="n">
        <v>3</v>
      </c>
      <c r="G5" s="14" t="n">
        <v>1</v>
      </c>
    </row>
    <row r="6" customFormat="false" ht="15" hidden="false" customHeight="false" outlineLevel="0" collapsed="false">
      <c r="A6" s="13" t="s">
        <v>61</v>
      </c>
      <c r="B6" s="14" t="n">
        <v>2</v>
      </c>
      <c r="C6" s="14" t="n">
        <v>1</v>
      </c>
      <c r="D6" s="14" t="n">
        <v>4</v>
      </c>
      <c r="E6" s="14" t="n">
        <v>0</v>
      </c>
      <c r="F6" s="14" t="n">
        <v>2</v>
      </c>
      <c r="G6" s="14" t="n">
        <v>3</v>
      </c>
    </row>
    <row r="7" customFormat="false" ht="15" hidden="false" customHeight="false" outlineLevel="0" collapsed="false">
      <c r="A7" s="13" t="s">
        <v>62</v>
      </c>
      <c r="B7" s="14" t="n">
        <v>2</v>
      </c>
      <c r="C7" s="14" t="n">
        <v>2</v>
      </c>
      <c r="D7" s="14" t="n">
        <v>0</v>
      </c>
      <c r="E7" s="14" t="n">
        <v>4</v>
      </c>
      <c r="F7" s="14" t="n">
        <v>3</v>
      </c>
      <c r="G7" s="14" t="n">
        <v>2</v>
      </c>
    </row>
    <row r="8" customFormat="false" ht="15" hidden="false" customHeight="false" outlineLevel="0" collapsed="false">
      <c r="A8" s="13" t="s">
        <v>63</v>
      </c>
      <c r="B8" s="14" t="n">
        <v>1</v>
      </c>
      <c r="C8" s="14" t="n">
        <v>3</v>
      </c>
      <c r="D8" s="14" t="n">
        <v>0</v>
      </c>
      <c r="E8" s="14" t="n">
        <v>1</v>
      </c>
      <c r="F8" s="14" t="n">
        <v>3</v>
      </c>
      <c r="G8" s="14" t="n">
        <v>2</v>
      </c>
    </row>
    <row r="9" customFormat="false" ht="15" hidden="false" customHeight="false" outlineLevel="0" collapsed="false">
      <c r="A9" s="13" t="s">
        <v>64</v>
      </c>
      <c r="B9" s="14" t="n">
        <v>2</v>
      </c>
      <c r="C9" s="14" t="n">
        <v>3</v>
      </c>
      <c r="D9" s="14" t="n">
        <v>3</v>
      </c>
      <c r="E9" s="14" t="n">
        <v>2</v>
      </c>
      <c r="F9" s="14" t="n">
        <v>4</v>
      </c>
      <c r="G9" s="14" t="n">
        <v>3</v>
      </c>
    </row>
    <row r="10" customFormat="false" ht="15" hidden="false" customHeight="false" outlineLevel="0" collapsed="false">
      <c r="A10" s="13" t="s">
        <v>65</v>
      </c>
      <c r="B10" s="14" t="n">
        <v>0</v>
      </c>
      <c r="C10" s="14" t="n">
        <v>2</v>
      </c>
      <c r="D10" s="14" t="n">
        <v>1</v>
      </c>
      <c r="E10" s="14" t="n">
        <v>0</v>
      </c>
      <c r="F10" s="14" t="n">
        <v>4</v>
      </c>
      <c r="G10" s="14" t="n">
        <v>3</v>
      </c>
    </row>
    <row r="11" customFormat="false" ht="15" hidden="false" customHeight="false" outlineLevel="0" collapsed="false">
      <c r="A11" s="13" t="s">
        <v>66</v>
      </c>
      <c r="B11" s="14" t="n">
        <v>2</v>
      </c>
      <c r="C11" s="14" t="n">
        <v>3</v>
      </c>
      <c r="D11" s="14" t="n">
        <v>3</v>
      </c>
      <c r="E11" s="14" t="n">
        <v>2</v>
      </c>
      <c r="F11" s="14" t="n">
        <v>3</v>
      </c>
      <c r="G11" s="14" t="n">
        <v>2</v>
      </c>
    </row>
    <row r="12" customFormat="false" ht="15" hidden="false" customHeight="false" outlineLevel="0" collapsed="false">
      <c r="A12" s="13" t="s">
        <v>67</v>
      </c>
      <c r="B12" s="14" t="n">
        <v>1</v>
      </c>
      <c r="C12" s="14" t="n">
        <v>4</v>
      </c>
      <c r="D12" s="14" t="n">
        <v>1</v>
      </c>
      <c r="E12" s="14" t="n">
        <v>2</v>
      </c>
      <c r="F12" s="14" t="n">
        <v>4</v>
      </c>
      <c r="G12" s="14" t="n">
        <v>2</v>
      </c>
    </row>
    <row r="13" customFormat="false" ht="15" hidden="false" customHeight="false" outlineLevel="0" collapsed="false">
      <c r="A13" s="13" t="s">
        <v>68</v>
      </c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4</v>
      </c>
      <c r="G13" s="14" t="n">
        <v>3</v>
      </c>
    </row>
    <row r="14" customFormat="false" ht="15" hidden="false" customHeight="false" outlineLevel="0" collapsed="false">
      <c r="A14" s="13" t="s">
        <v>69</v>
      </c>
      <c r="B14" s="14" t="n">
        <v>0</v>
      </c>
      <c r="C14" s="14" t="n">
        <v>0</v>
      </c>
      <c r="D14" s="14" t="n">
        <v>0</v>
      </c>
      <c r="E14" s="14" t="n">
        <v>0</v>
      </c>
      <c r="F14" s="14" t="n">
        <v>4</v>
      </c>
      <c r="G14" s="14" t="n">
        <v>3</v>
      </c>
    </row>
    <row r="15" customFormat="false" ht="15" hidden="false" customHeight="false" outlineLevel="0" collapsed="false">
      <c r="A15" s="13"/>
      <c r="B15" s="14"/>
      <c r="C15" s="14"/>
      <c r="D15" s="14"/>
      <c r="E15" s="14"/>
      <c r="F15" s="14"/>
      <c r="G15" s="14"/>
    </row>
    <row r="16" customFormat="false" ht="15" hidden="false" customHeight="false" outlineLevel="0" collapsed="false">
      <c r="A16" s="13"/>
      <c r="B16" s="14"/>
      <c r="C16" s="14"/>
      <c r="D16" s="14"/>
      <c r="E16" s="14"/>
      <c r="F16" s="14"/>
      <c r="G16" s="14"/>
    </row>
    <row r="17" customFormat="false" ht="15" hidden="false" customHeight="false" outlineLevel="0" collapsed="false">
      <c r="A17" s="13"/>
      <c r="B17" s="14"/>
      <c r="C17" s="14"/>
      <c r="D17" s="14"/>
      <c r="E17" s="14"/>
      <c r="F17" s="14"/>
      <c r="G17" s="14"/>
    </row>
    <row r="18" customFormat="false" ht="15" hidden="false" customHeight="false" outlineLevel="0" collapsed="false">
      <c r="A18" s="13"/>
      <c r="B18" s="14"/>
      <c r="C18" s="14"/>
      <c r="D18" s="14"/>
      <c r="E18" s="14"/>
      <c r="F18" s="14"/>
      <c r="G18" s="14"/>
    </row>
  </sheetData>
  <dataValidations count="2">
    <dataValidation allowBlank="true" error="Saisir un entier de 0 à 4." errorStyle="stop" errorTitle="Niveau" operator="between" showDropDown="false" showErrorMessage="true" showInputMessage="false" sqref="B5:F18" type="whole">
      <formula1>0</formula1>
      <formula2>4</formula2>
    </dataValidation>
    <dataValidation allowBlank="true" error="Saisir 1, 2 ou 3." errorStyle="stop" errorTitle="Difficulté" operator="between" showDropDown="false" showErrorMessage="true" showInputMessage="false" sqref="G5:G18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9"/>
  </cols>
  <sheetData>
    <row r="1" customFormat="false" ht="17.35" hidden="false" customHeight="false" outlineLevel="0" collapsed="false">
      <c r="A1" s="4" t="s">
        <v>70</v>
      </c>
    </row>
    <row r="2" customFormat="false" ht="15" hidden="false" customHeight="false" outlineLevel="0" collapsed="false">
      <c r="A2" s="5" t="s">
        <v>71</v>
      </c>
    </row>
    <row r="4" customFormat="false" ht="15" hidden="false" customHeight="false" outlineLevel="0" collapsed="false">
      <c r="A4" s="10" t="s">
        <v>72</v>
      </c>
    </row>
    <row r="5" customFormat="false" ht="42" hidden="false" customHeight="true" outlineLevel="0" collapsed="false">
      <c r="A5" s="6" t="s">
        <v>73</v>
      </c>
      <c r="B5" s="6" t="str">
        <f aca="false">Référentiel!B4</f>
        <v>Assistant RH généraliste</v>
      </c>
      <c r="C5" s="6" t="str">
        <f aca="false">Référentiel!C4</f>
        <v>Chargé de mission RH</v>
      </c>
      <c r="D5" s="6" t="str">
        <f aca="false">Référentiel!D4</f>
        <v>Gestionnaire de paie</v>
      </c>
      <c r="E5" s="6" t="str">
        <f aca="false">Référentiel!E4</f>
        <v>Chargé de recrutement</v>
      </c>
      <c r="F5" s="6" t="str">
        <f aca="false">Référentiel!F4</f>
        <v>Responsable RH</v>
      </c>
    </row>
    <row r="6" customFormat="false" ht="15" hidden="false" customHeight="false" outlineLevel="0" collapsed="false">
      <c r="A6" s="15" t="str">
        <f aca="false">Référentiel!B4</f>
        <v>Assistant RH généraliste</v>
      </c>
      <c r="B6" s="16" t="n">
        <f aca="false">IF(0=0,1,IF(COUNTIF(Référentiel!$B$5:$B$18,"&gt;0")=0,0,SUMPRODUCT((Référentiel!$B$5:$B$18&gt;0)*(Référentiel!$B$5:$B$18&gt;=Référentiel!$B$5:$B$18))/COUNTIF(Référentiel!$B$5:$B$18,"&gt;0")))</f>
        <v>1</v>
      </c>
      <c r="C6" s="16" t="n">
        <f aca="false">IF(0=1,1,IF(COUNTIF(Référentiel!$C$5:$C$18,"&gt;0")=0,0,SUMPRODUCT((Référentiel!$C$5:$C$18&gt;0)*(Référentiel!$B$5:$B$18&gt;=Référentiel!$C$5:$C$18))/COUNTIF(Référentiel!$C$5:$C$18,"&gt;0")))</f>
        <v>0.375</v>
      </c>
      <c r="D6" s="16" t="n">
        <f aca="false">IF(0=2,1,IF(COUNTIF(Référentiel!$D$5:$D$18,"&gt;0")=0,0,SUMPRODUCT((Référentiel!$D$5:$D$18&gt;0)*(Référentiel!$B$5:$B$18&gt;=Référentiel!$D$5:$D$18))/COUNTIF(Référentiel!$D$5:$D$18,"&gt;0")))</f>
        <v>0.333333333333333</v>
      </c>
      <c r="E6" s="16" t="n">
        <f aca="false">IF(0=3,1,IF(COUNTIF(Référentiel!$E$5:$E$18,"&gt;0")=0,0,SUMPRODUCT((Référentiel!$E$5:$E$18&gt;0)*(Référentiel!$B$5:$B$18&gt;=Référentiel!$E$5:$E$18))/COUNTIF(Référentiel!$E$5:$E$18,"&gt;0")))</f>
        <v>0.666666666666667</v>
      </c>
      <c r="F6" s="16" t="n">
        <f aca="false">IF(0=4,1,IF(COUNTIF(Référentiel!$F$5:$F$18,"&gt;0")=0,0,SUMPRODUCT((Référentiel!$F$5:$F$18&gt;0)*(Référentiel!$B$5:$B$18&gt;=Référentiel!$F$5:$F$18))/COUNTIF(Référentiel!$F$5:$F$18,"&gt;0")))</f>
        <v>0.2</v>
      </c>
    </row>
    <row r="7" customFormat="false" ht="15" hidden="false" customHeight="false" outlineLevel="0" collapsed="false">
      <c r="A7" s="15" t="str">
        <f aca="false">Référentiel!C4</f>
        <v>Chargé de mission RH</v>
      </c>
      <c r="B7" s="16" t="n">
        <f aca="false">IF(1=0,1,IF(COUNTIF(Référentiel!$B$5:$B$18,"&gt;0")=0,0,SUMPRODUCT((Référentiel!$B$5:$B$18&gt;0)*(Référentiel!$C$5:$C$18&gt;=Référentiel!$B$5:$B$18))/COUNTIF(Référentiel!$B$5:$B$18,"&gt;0")))</f>
        <v>0.714285714285714</v>
      </c>
      <c r="C7" s="16" t="n">
        <f aca="false">IF(1=1,1,IF(COUNTIF(Référentiel!$C$5:$C$18,"&gt;0")=0,0,SUMPRODUCT((Référentiel!$C$5:$C$18&gt;0)*(Référentiel!$C$5:$C$18&gt;=Référentiel!$C$5:$C$18))/COUNTIF(Référentiel!$C$5:$C$18,"&gt;0")))</f>
        <v>1</v>
      </c>
      <c r="D7" s="16" t="n">
        <f aca="false">IF(1=2,1,IF(COUNTIF(Référentiel!$D$5:$D$18,"&gt;0")=0,0,SUMPRODUCT((Référentiel!$D$5:$D$18&gt;0)*(Référentiel!$C$5:$C$18&gt;=Référentiel!$D$5:$D$18))/COUNTIF(Référentiel!$D$5:$D$18,"&gt;0")))</f>
        <v>0.833333333333333</v>
      </c>
      <c r="E7" s="16" t="n">
        <f aca="false">IF(1=3,1,IF(COUNTIF(Référentiel!$E$5:$E$18,"&gt;0")=0,0,SUMPRODUCT((Référentiel!$E$5:$E$18&gt;0)*(Référentiel!$C$5:$C$18&gt;=Référentiel!$E$5:$E$18))/COUNTIF(Référentiel!$E$5:$E$18,"&gt;0")))</f>
        <v>0.833333333333333</v>
      </c>
      <c r="F7" s="16" t="n">
        <f aca="false">IF(1=4,1,IF(COUNTIF(Référentiel!$F$5:$F$18,"&gt;0")=0,0,SUMPRODUCT((Référentiel!$F$5:$F$18&gt;0)*(Référentiel!$C$5:$C$18&gt;=Référentiel!$F$5:$F$18))/COUNTIF(Référentiel!$F$5:$F$18,"&gt;0")))</f>
        <v>0.4</v>
      </c>
    </row>
    <row r="8" customFormat="false" ht="15" hidden="false" customHeight="false" outlineLevel="0" collapsed="false">
      <c r="A8" s="15" t="str">
        <f aca="false">Référentiel!D4</f>
        <v>Gestionnaire de paie</v>
      </c>
      <c r="B8" s="16" t="n">
        <f aca="false">IF(2=0,1,IF(COUNTIF(Référentiel!$B$5:$B$18,"&gt;0")=0,0,SUMPRODUCT((Référentiel!$B$5:$B$18&gt;0)*(Référentiel!$D$5:$D$18&gt;=Référentiel!$B$5:$B$18))/COUNTIF(Référentiel!$B$5:$B$18,"&gt;0")))</f>
        <v>0.571428571428571</v>
      </c>
      <c r="C8" s="16" t="n">
        <f aca="false">IF(2=1,1,IF(COUNTIF(Référentiel!$C$5:$C$18,"&gt;0")=0,0,SUMPRODUCT((Référentiel!$C$5:$C$18&gt;0)*(Référentiel!$D$5:$D$18&gt;=Référentiel!$C$5:$C$18))/COUNTIF(Référentiel!$C$5:$C$18,"&gt;0")))</f>
        <v>0.5</v>
      </c>
      <c r="D8" s="16" t="n">
        <f aca="false">IF(2=2,1,IF(COUNTIF(Référentiel!$D$5:$D$18,"&gt;0")=0,0,SUMPRODUCT((Référentiel!$D$5:$D$18&gt;0)*(Référentiel!$D$5:$D$18&gt;=Référentiel!$D$5:$D$18))/COUNTIF(Référentiel!$D$5:$D$18,"&gt;0")))</f>
        <v>1</v>
      </c>
      <c r="E8" s="16" t="n">
        <f aca="false">IF(2=3,1,IF(COUNTIF(Référentiel!$E$5:$E$18,"&gt;0")=0,0,SUMPRODUCT((Référentiel!$E$5:$E$18&gt;0)*(Référentiel!$D$5:$D$18&gt;=Référentiel!$E$5:$E$18))/COUNTIF(Référentiel!$E$5:$E$18,"&gt;0")))</f>
        <v>0.5</v>
      </c>
      <c r="F8" s="16" t="n">
        <f aca="false">IF(2=4,1,IF(COUNTIF(Référentiel!$F$5:$F$18,"&gt;0")=0,0,SUMPRODUCT((Référentiel!$F$5:$F$18&gt;0)*(Référentiel!$D$5:$D$18&gt;=Référentiel!$F$5:$F$18))/COUNTIF(Référentiel!$F$5:$F$18,"&gt;0")))</f>
        <v>0.3</v>
      </c>
    </row>
    <row r="9" customFormat="false" ht="15" hidden="false" customHeight="false" outlineLevel="0" collapsed="false">
      <c r="A9" s="15" t="str">
        <f aca="false">Référentiel!E4</f>
        <v>Chargé de recrutement</v>
      </c>
      <c r="B9" s="16" t="n">
        <f aca="false">IF(3=0,1,IF(COUNTIF(Référentiel!$B$5:$B$18,"&gt;0")=0,0,SUMPRODUCT((Référentiel!$B$5:$B$18&gt;0)*(Référentiel!$E$5:$E$18&gt;=Référentiel!$B$5:$B$18))/COUNTIF(Référentiel!$B$5:$B$18,"&gt;0")))</f>
        <v>0.714285714285714</v>
      </c>
      <c r="C9" s="16" t="n">
        <f aca="false">IF(3=1,1,IF(COUNTIF(Référentiel!$C$5:$C$18,"&gt;0")=0,0,SUMPRODUCT((Référentiel!$C$5:$C$18&gt;0)*(Référentiel!$E$5:$E$18&gt;=Référentiel!$C$5:$C$18))/COUNTIF(Référentiel!$C$5:$C$18,"&gt;0")))</f>
        <v>0.125</v>
      </c>
      <c r="D9" s="16" t="n">
        <f aca="false">IF(3=2,1,IF(COUNTIF(Référentiel!$D$5:$D$18,"&gt;0")=0,0,SUMPRODUCT((Référentiel!$D$5:$D$18&gt;0)*(Référentiel!$E$5:$E$18&gt;=Référentiel!$D$5:$D$18))/COUNTIF(Référentiel!$D$5:$D$18,"&gt;0")))</f>
        <v>0.166666666666667</v>
      </c>
      <c r="E9" s="16" t="n">
        <f aca="false">IF(3=3,1,IF(COUNTIF(Référentiel!$E$5:$E$18,"&gt;0")=0,0,SUMPRODUCT((Référentiel!$E$5:$E$18&gt;0)*(Référentiel!$E$5:$E$18&gt;=Référentiel!$E$5:$E$18))/COUNTIF(Référentiel!$E$5:$E$18,"&gt;0")))</f>
        <v>1</v>
      </c>
      <c r="F9" s="16" t="n">
        <f aca="false">IF(3=4,1,IF(COUNTIF(Référentiel!$F$5:$F$18,"&gt;0")=0,0,SUMPRODUCT((Référentiel!$F$5:$F$18&gt;0)*(Référentiel!$E$5:$E$18&gt;=Référentiel!$F$5:$F$18))/COUNTIF(Référentiel!$F$5:$F$18,"&gt;0")))</f>
        <v>0.1</v>
      </c>
    </row>
    <row r="10" customFormat="false" ht="15" hidden="false" customHeight="false" outlineLevel="0" collapsed="false">
      <c r="A10" s="15" t="str">
        <f aca="false">Référentiel!F4</f>
        <v>Responsable RH</v>
      </c>
      <c r="B10" s="16" t="n">
        <f aca="false">IF(4=0,1,IF(COUNTIF(Référentiel!$B$5:$B$18,"&gt;0")=0,0,SUMPRODUCT((Référentiel!$B$5:$B$18&gt;0)*(Référentiel!$F$5:$F$18&gt;=Référentiel!$B$5:$B$18))/COUNTIF(Référentiel!$B$5:$B$18,"&gt;0")))</f>
        <v>0.857142857142857</v>
      </c>
      <c r="C10" s="16" t="n">
        <f aca="false">IF(4=1,1,IF(COUNTIF(Référentiel!$C$5:$C$18,"&gt;0")=0,0,SUMPRODUCT((Référentiel!$C$5:$C$18&gt;0)*(Référentiel!$F$5:$F$18&gt;=Référentiel!$C$5:$C$18))/COUNTIF(Référentiel!$C$5:$C$18,"&gt;0")))</f>
        <v>1</v>
      </c>
      <c r="D10" s="16" t="n">
        <f aca="false">IF(4=2,1,IF(COUNTIF(Référentiel!$D$5:$D$18,"&gt;0")=0,0,SUMPRODUCT((Référentiel!$D$5:$D$18&gt;0)*(Référentiel!$F$5:$F$18&gt;=Référentiel!$D$5:$D$18))/COUNTIF(Référentiel!$D$5:$D$18,"&gt;0")))</f>
        <v>0.833333333333333</v>
      </c>
      <c r="E10" s="16" t="n">
        <f aca="false">IF(4=3,1,IF(COUNTIF(Référentiel!$E$5:$E$18,"&gt;0")=0,0,SUMPRODUCT((Référentiel!$E$5:$E$18&gt;0)*(Référentiel!$F$5:$F$18&gt;=Référentiel!$E$5:$E$18))/COUNTIF(Référentiel!$E$5:$E$18,"&gt;0")))</f>
        <v>0.833333333333333</v>
      </c>
      <c r="F10" s="16" t="n">
        <f aca="false">IF(4=4,1,IF(COUNTIF(Référentiel!$F$5:$F$18,"&gt;0")=0,0,SUMPRODUCT((Référentiel!$F$5:$F$18&gt;0)*(Référentiel!$F$5:$F$18&gt;=Référentiel!$F$5:$F$18))/COUNTIF(Référentiel!$F$5:$F$18,"&gt;0")))</f>
        <v>1</v>
      </c>
    </row>
    <row r="13" customFormat="false" ht="15" hidden="false" customHeight="false" outlineLevel="0" collapsed="false">
      <c r="A13" s="10" t="s">
        <v>74</v>
      </c>
    </row>
    <row r="14" customFormat="false" ht="42" hidden="false" customHeight="true" outlineLevel="0" collapsed="false">
      <c r="A14" s="6" t="s">
        <v>73</v>
      </c>
      <c r="B14" s="6" t="str">
        <f aca="false">Référentiel!B4</f>
        <v>Assistant RH généraliste</v>
      </c>
      <c r="C14" s="6" t="str">
        <f aca="false">Référentiel!C4</f>
        <v>Chargé de mission RH</v>
      </c>
      <c r="D14" s="6" t="str">
        <f aca="false">Référentiel!D4</f>
        <v>Gestionnaire de paie</v>
      </c>
      <c r="E14" s="6" t="str">
        <f aca="false">Référentiel!E4</f>
        <v>Chargé de recrutement</v>
      </c>
      <c r="F14" s="6" t="str">
        <f aca="false">Référentiel!F4</f>
        <v>Responsable RH</v>
      </c>
    </row>
    <row r="15" customFormat="false" ht="15" hidden="false" customHeight="false" outlineLevel="0" collapsed="false">
      <c r="A15" s="15" t="str">
        <f aca="false">Référentiel!B4</f>
        <v>Assistant RH généraliste</v>
      </c>
      <c r="B15" s="16" t="n">
        <f aca="false">IF(0=0,1,IF(SUM(Référentiel!$B$5:$B$18)=0,0,SUMPRODUCT((Référentiel!$B$5:$B$18&gt;0)*((Référentiel!$B$5:$B$18&lt;Référentiel!$B$5:$B$18)*Référentiel!$B$5:$B$18+(Référentiel!$B$5:$B$18&gt;=Référentiel!$B$5:$B$18)*Référentiel!$B$5:$B$18))/SUM(Référentiel!$B$5:$B$18)))</f>
        <v>1</v>
      </c>
      <c r="C15" s="16" t="n">
        <f aca="false">IF(0=1,1,IF(SUM(Référentiel!$C$5:$C$18)=0,0,SUMPRODUCT((Référentiel!$C$5:$C$18&gt;0)*((Référentiel!$B$5:$B$18&lt;Référentiel!$C$5:$C$18)*Référentiel!$B$5:$B$18+(Référentiel!$B$5:$B$18&gt;=Référentiel!$C$5:$C$18)*Référentiel!$C$5:$C$18))/SUM(Référentiel!$C$5:$C$18)))</f>
        <v>0.571428571428571</v>
      </c>
      <c r="D15" s="16" t="n">
        <f aca="false">IF(0=2,1,IF(SUM(Référentiel!$D$5:$D$18)=0,0,SUMPRODUCT((Référentiel!$D$5:$D$18&gt;0)*((Référentiel!$B$5:$B$18&lt;Référentiel!$D$5:$D$18)*Référentiel!$B$5:$B$18+(Référentiel!$B$5:$B$18&gt;=Référentiel!$D$5:$D$18)*Référentiel!$D$5:$D$18))/SUM(Référentiel!$D$5:$D$18)))</f>
        <v>0.666666666666667</v>
      </c>
      <c r="E15" s="16" t="n">
        <f aca="false">IF(0=3,1,IF(SUM(Référentiel!$E$5:$E$18)=0,0,SUMPRODUCT((Référentiel!$E$5:$E$18&gt;0)*((Référentiel!$B$5:$B$18&lt;Référentiel!$E$5:$E$18)*Référentiel!$B$5:$B$18+(Référentiel!$B$5:$B$18&gt;=Référentiel!$E$5:$E$18)*Référentiel!$E$5:$E$18))/SUM(Référentiel!$E$5:$E$18)))</f>
        <v>0.769230769230769</v>
      </c>
      <c r="F15" s="16" t="n">
        <f aca="false">IF(0=4,1,IF(SUM(Référentiel!$F$5:$F$18)=0,0,SUMPRODUCT((Référentiel!$F$5:$F$18&gt;0)*((Référentiel!$B$5:$B$18&lt;Référentiel!$F$5:$F$18)*Référentiel!$B$5:$B$18+(Référentiel!$B$5:$B$18&gt;=Référentiel!$F$5:$F$18)*Référentiel!$F$5:$F$18))/SUM(Référentiel!$F$5:$F$18)))</f>
        <v>0.382352941176471</v>
      </c>
    </row>
    <row r="16" customFormat="false" ht="15" hidden="false" customHeight="false" outlineLevel="0" collapsed="false">
      <c r="A16" s="15" t="str">
        <f aca="false">Référentiel!C4</f>
        <v>Chargé de mission RH</v>
      </c>
      <c r="B16" s="16" t="n">
        <f aca="false">IF(1=0,1,IF(SUM(Référentiel!$B$5:$B$18)=0,0,SUMPRODUCT((Référentiel!$B$5:$B$18&gt;0)*((Référentiel!$C$5:$C$18&lt;Référentiel!$B$5:$B$18)*Référentiel!$C$5:$C$18+(Référentiel!$C$5:$C$18&gt;=Référentiel!$B$5:$B$18)*Référentiel!$B$5:$B$18))/SUM(Référentiel!$B$5:$B$18)))</f>
        <v>0.857142857142857</v>
      </c>
      <c r="C16" s="16" t="n">
        <f aca="false">IF(1=1,1,IF(SUM(Référentiel!$C$5:$C$18)=0,0,SUMPRODUCT((Référentiel!$C$5:$C$18&gt;0)*((Référentiel!$C$5:$C$18&lt;Référentiel!$C$5:$C$18)*Référentiel!$C$5:$C$18+(Référentiel!$C$5:$C$18&gt;=Référentiel!$C$5:$C$18)*Référentiel!$C$5:$C$18))/SUM(Référentiel!$C$5:$C$18)))</f>
        <v>1</v>
      </c>
      <c r="D16" s="16" t="n">
        <f aca="false">IF(1=2,1,IF(SUM(Référentiel!$D$5:$D$18)=0,0,SUMPRODUCT((Référentiel!$D$5:$D$18&gt;0)*((Référentiel!$C$5:$C$18&lt;Référentiel!$D$5:$D$18)*Référentiel!$C$5:$C$18+(Référentiel!$C$5:$C$18&gt;=Référentiel!$D$5:$D$18)*Référentiel!$D$5:$D$18))/SUM(Référentiel!$D$5:$D$18)))</f>
        <v>0.8</v>
      </c>
      <c r="E16" s="16" t="n">
        <f aca="false">IF(1=3,1,IF(SUM(Référentiel!$E$5:$E$18)=0,0,SUMPRODUCT((Référentiel!$E$5:$E$18&gt;0)*((Référentiel!$C$5:$C$18&lt;Référentiel!$E$5:$E$18)*Référentiel!$C$5:$C$18+(Référentiel!$C$5:$C$18&gt;=Référentiel!$E$5:$E$18)*Référentiel!$E$5:$E$18))/SUM(Référentiel!$E$5:$E$18)))</f>
        <v>0.846153846153846</v>
      </c>
      <c r="F16" s="16" t="n">
        <f aca="false">IF(1=4,1,IF(SUM(Référentiel!$F$5:$F$18)=0,0,SUMPRODUCT((Référentiel!$F$5:$F$18&gt;0)*((Référentiel!$C$5:$C$18&lt;Référentiel!$F$5:$F$18)*Référentiel!$C$5:$C$18+(Référentiel!$C$5:$C$18&gt;=Référentiel!$F$5:$F$18)*Référentiel!$F$5:$F$18))/SUM(Référentiel!$F$5:$F$18)))</f>
        <v>0.617647058823529</v>
      </c>
    </row>
    <row r="17" customFormat="false" ht="15" hidden="false" customHeight="false" outlineLevel="0" collapsed="false">
      <c r="A17" s="15" t="str">
        <f aca="false">Référentiel!D4</f>
        <v>Gestionnaire de paie</v>
      </c>
      <c r="B17" s="16" t="n">
        <f aca="false">IF(2=0,1,IF(SUM(Référentiel!$B$5:$B$18)=0,0,SUMPRODUCT((Référentiel!$B$5:$B$18&gt;0)*((Référentiel!$D$5:$D$18&lt;Référentiel!$B$5:$B$18)*Référentiel!$D$5:$D$18+(Référentiel!$D$5:$D$18&gt;=Référentiel!$B$5:$B$18)*Référentiel!$B$5:$B$18))/SUM(Référentiel!$B$5:$B$18)))</f>
        <v>0.714285714285714</v>
      </c>
      <c r="C17" s="16" t="n">
        <f aca="false">IF(2=1,1,IF(SUM(Référentiel!$C$5:$C$18)=0,0,SUMPRODUCT((Référentiel!$C$5:$C$18&gt;0)*((Référentiel!$D$5:$D$18&lt;Référentiel!$C$5:$C$18)*Référentiel!$D$5:$D$18+(Référentiel!$D$5:$D$18&gt;=Référentiel!$C$5:$C$18)*Référentiel!$C$5:$C$18))/SUM(Référentiel!$C$5:$C$18)))</f>
        <v>0.571428571428571</v>
      </c>
      <c r="D17" s="16" t="n">
        <f aca="false">IF(2=2,1,IF(SUM(Référentiel!$D$5:$D$18)=0,0,SUMPRODUCT((Référentiel!$D$5:$D$18&gt;0)*((Référentiel!$D$5:$D$18&lt;Référentiel!$D$5:$D$18)*Référentiel!$D$5:$D$18+(Référentiel!$D$5:$D$18&gt;=Référentiel!$D$5:$D$18)*Référentiel!$D$5:$D$18))/SUM(Référentiel!$D$5:$D$18)))</f>
        <v>1</v>
      </c>
      <c r="E17" s="16" t="n">
        <f aca="false">IF(2=3,1,IF(SUM(Référentiel!$E$5:$E$18)=0,0,SUMPRODUCT((Référentiel!$E$5:$E$18&gt;0)*((Référentiel!$D$5:$D$18&lt;Référentiel!$E$5:$E$18)*Référentiel!$D$5:$D$18+(Référentiel!$D$5:$D$18&gt;=Référentiel!$E$5:$E$18)*Référentiel!$E$5:$E$18))/SUM(Référentiel!$E$5:$E$18)))</f>
        <v>0.538461538461538</v>
      </c>
      <c r="F17" s="16" t="n">
        <f aca="false">IF(2=4,1,IF(SUM(Référentiel!$F$5:$F$18)=0,0,SUMPRODUCT((Référentiel!$F$5:$F$18&gt;0)*((Référentiel!$D$5:$D$18&lt;Référentiel!$F$5:$F$18)*Référentiel!$D$5:$D$18+(Référentiel!$D$5:$D$18&gt;=Référentiel!$F$5:$F$18)*Référentiel!$F$5:$F$18))/SUM(Référentiel!$F$5:$F$18)))</f>
        <v>0.382352941176471</v>
      </c>
    </row>
    <row r="18" customFormat="false" ht="15" hidden="false" customHeight="false" outlineLevel="0" collapsed="false">
      <c r="A18" s="15" t="str">
        <f aca="false">Référentiel!E4</f>
        <v>Chargé de recrutement</v>
      </c>
      <c r="B18" s="16" t="n">
        <f aca="false">IF(3=0,1,IF(SUM(Référentiel!$B$5:$B$18)=0,0,SUMPRODUCT((Référentiel!$B$5:$B$18&gt;0)*((Référentiel!$E$5:$E$18&lt;Référentiel!$B$5:$B$18)*Référentiel!$E$5:$E$18+(Référentiel!$E$5:$E$18&gt;=Référentiel!$B$5:$B$18)*Référentiel!$B$5:$B$18))/SUM(Référentiel!$B$5:$B$18)))</f>
        <v>0.714285714285714</v>
      </c>
      <c r="C18" s="16" t="n">
        <f aca="false">IF(3=1,1,IF(SUM(Référentiel!$C$5:$C$18)=0,0,SUMPRODUCT((Référentiel!$C$5:$C$18&gt;0)*((Référentiel!$E$5:$E$18&lt;Référentiel!$C$5:$C$18)*Référentiel!$E$5:$E$18+(Référentiel!$E$5:$E$18&gt;=Référentiel!$C$5:$C$18)*Référentiel!$C$5:$C$18))/SUM(Référentiel!$C$5:$C$18)))</f>
        <v>0.523809523809524</v>
      </c>
      <c r="D18" s="16" t="n">
        <f aca="false">IF(3=2,1,IF(SUM(Référentiel!$D$5:$D$18)=0,0,SUMPRODUCT((Référentiel!$D$5:$D$18&gt;0)*((Référentiel!$E$5:$E$18&lt;Référentiel!$D$5:$D$18)*Référentiel!$E$5:$E$18+(Référentiel!$E$5:$E$18&gt;=Référentiel!$D$5:$D$18)*Référentiel!$D$5:$D$18))/SUM(Référentiel!$D$5:$D$18)))</f>
        <v>0.466666666666667</v>
      </c>
      <c r="E18" s="16" t="n">
        <f aca="false">IF(3=3,1,IF(SUM(Référentiel!$E$5:$E$18)=0,0,SUMPRODUCT((Référentiel!$E$5:$E$18&gt;0)*((Référentiel!$E$5:$E$18&lt;Référentiel!$E$5:$E$18)*Référentiel!$E$5:$E$18+(Référentiel!$E$5:$E$18&gt;=Référentiel!$E$5:$E$18)*Référentiel!$E$5:$E$18))/SUM(Référentiel!$E$5:$E$18)))</f>
        <v>1</v>
      </c>
      <c r="F18" s="16" t="n">
        <f aca="false">IF(3=4,1,IF(SUM(Référentiel!$F$5:$F$18)=0,0,SUMPRODUCT((Référentiel!$F$5:$F$18&gt;0)*((Référentiel!$E$5:$E$18&lt;Référentiel!$F$5:$F$18)*Référentiel!$E$5:$E$18+(Référentiel!$E$5:$E$18&gt;=Référentiel!$F$5:$F$18)*Référentiel!$F$5:$F$18))/SUM(Référentiel!$F$5:$F$18)))</f>
        <v>0.352941176470588</v>
      </c>
    </row>
    <row r="19" customFormat="false" ht="15" hidden="false" customHeight="false" outlineLevel="0" collapsed="false">
      <c r="A19" s="15" t="str">
        <f aca="false">Référentiel!F4</f>
        <v>Responsable RH</v>
      </c>
      <c r="B19" s="16" t="n">
        <f aca="false">IF(4=0,1,IF(SUM(Référentiel!$B$5:$B$18)=0,0,SUMPRODUCT((Référentiel!$B$5:$B$18&gt;0)*((Référentiel!$F$5:$F$18&lt;Référentiel!$B$5:$B$18)*Référentiel!$F$5:$F$18+(Référentiel!$F$5:$F$18&gt;=Référentiel!$B$5:$B$18)*Référentiel!$B$5:$B$18))/SUM(Référentiel!$B$5:$B$18)))</f>
        <v>0.928571428571429</v>
      </c>
      <c r="C19" s="16" t="n">
        <f aca="false">IF(4=1,1,IF(SUM(Référentiel!$C$5:$C$18)=0,0,SUMPRODUCT((Référentiel!$C$5:$C$18&gt;0)*((Référentiel!$F$5:$F$18&lt;Référentiel!$C$5:$C$18)*Référentiel!$F$5:$F$18+(Référentiel!$F$5:$F$18&gt;=Référentiel!$C$5:$C$18)*Référentiel!$C$5:$C$18))/SUM(Référentiel!$C$5:$C$18)))</f>
        <v>1</v>
      </c>
      <c r="D19" s="16" t="n">
        <f aca="false">IF(4=2,1,IF(SUM(Référentiel!$D$5:$D$18)=0,0,SUMPRODUCT((Référentiel!$D$5:$D$18&gt;0)*((Référentiel!$F$5:$F$18&lt;Référentiel!$D$5:$D$18)*Référentiel!$F$5:$F$18+(Référentiel!$F$5:$F$18&gt;=Référentiel!$D$5:$D$18)*Référentiel!$D$5:$D$18))/SUM(Référentiel!$D$5:$D$18)))</f>
        <v>0.866666666666667</v>
      </c>
      <c r="E19" s="16" t="n">
        <f aca="false">IF(4=3,1,IF(SUM(Référentiel!$E$5:$E$18)=0,0,SUMPRODUCT((Référentiel!$E$5:$E$18&gt;0)*((Référentiel!$F$5:$F$18&lt;Référentiel!$E$5:$E$18)*Référentiel!$F$5:$F$18+(Référentiel!$F$5:$F$18&gt;=Référentiel!$E$5:$E$18)*Référentiel!$E$5:$E$18))/SUM(Référentiel!$E$5:$E$18)))</f>
        <v>0.923076923076923</v>
      </c>
      <c r="F19" s="16" t="n">
        <f aca="false">IF(4=4,1,IF(SUM(Référentiel!$F$5:$F$18)=0,0,SUMPRODUCT((Référentiel!$F$5:$F$18&gt;0)*((Référentiel!$F$5:$F$18&lt;Référentiel!$F$5:$F$18)*Référentiel!$F$5:$F$18+(Référentiel!$F$5:$F$18&gt;=Référentiel!$F$5:$F$18)*Référentiel!$F$5:$F$18))/SUM(Référentiel!$F$5:$F$18)))</f>
        <v>1</v>
      </c>
    </row>
    <row r="22" customFormat="false" ht="15" hidden="false" customHeight="false" outlineLevel="0" collapsed="false">
      <c r="A22" s="10" t="s">
        <v>75</v>
      </c>
    </row>
    <row r="23" customFormat="false" ht="42" hidden="false" customHeight="true" outlineLevel="0" collapsed="false">
      <c r="A23" s="6" t="s">
        <v>73</v>
      </c>
      <c r="B23" s="6" t="str">
        <f aca="false">Référentiel!B4</f>
        <v>Assistant RH généraliste</v>
      </c>
      <c r="C23" s="6" t="str">
        <f aca="false">Référentiel!C4</f>
        <v>Chargé de mission RH</v>
      </c>
      <c r="D23" s="6" t="str">
        <f aca="false">Référentiel!D4</f>
        <v>Gestionnaire de paie</v>
      </c>
      <c r="E23" s="6" t="str">
        <f aca="false">Référentiel!E4</f>
        <v>Chargé de recrutement</v>
      </c>
      <c r="F23" s="6" t="str">
        <f aca="false">Référentiel!F4</f>
        <v>Responsable RH</v>
      </c>
    </row>
    <row r="24" customFormat="false" ht="15" hidden="false" customHeight="false" outlineLevel="0" collapsed="false">
      <c r="A24" s="15" t="str">
        <f aca="false">Référentiel!B4</f>
        <v>Assistant RH généraliste</v>
      </c>
      <c r="B24" s="17" t="n">
        <f aca="false">SUMPRODUCT((Référentiel!$B$5:$B$18&gt;0)*(Référentiel!$B$5:$B$18=0))</f>
        <v>0</v>
      </c>
      <c r="C24" s="17" t="n">
        <f aca="false">SUMPRODUCT((Référentiel!$C$5:$C$18&gt;0)*(Référentiel!$B$5:$B$18=0))</f>
        <v>1</v>
      </c>
      <c r="D24" s="17" t="n">
        <f aca="false">SUMPRODUCT((Référentiel!$D$5:$D$18&gt;0)*(Référentiel!$B$5:$B$18=0))</f>
        <v>1</v>
      </c>
      <c r="E24" s="17" t="n">
        <f aca="false">SUMPRODUCT((Référentiel!$E$5:$E$18&gt;0)*(Référentiel!$B$5:$B$18=0))</f>
        <v>0</v>
      </c>
      <c r="F24" s="17" t="n">
        <f aca="false">SUMPRODUCT((Référentiel!$F$5:$F$18&gt;0)*(Référentiel!$B$5:$B$18=0))</f>
        <v>3</v>
      </c>
    </row>
    <row r="25" customFormat="false" ht="15" hidden="false" customHeight="false" outlineLevel="0" collapsed="false">
      <c r="A25" s="15" t="str">
        <f aca="false">Référentiel!C4</f>
        <v>Chargé de mission RH</v>
      </c>
      <c r="B25" s="17" t="n">
        <f aca="false">SUMPRODUCT((Référentiel!$B$5:$B$18&gt;0)*(Référentiel!$C$5:$C$18=0))</f>
        <v>0</v>
      </c>
      <c r="C25" s="17" t="n">
        <f aca="false">SUMPRODUCT((Référentiel!$C$5:$C$18&gt;0)*(Référentiel!$C$5:$C$18=0))</f>
        <v>0</v>
      </c>
      <c r="D25" s="17" t="n">
        <f aca="false">SUMPRODUCT((Référentiel!$D$5:$D$18&gt;0)*(Référentiel!$C$5:$C$18=0))</f>
        <v>0</v>
      </c>
      <c r="E25" s="17" t="n">
        <f aca="false">SUMPRODUCT((Référentiel!$E$5:$E$18&gt;0)*(Référentiel!$C$5:$C$18=0))</f>
        <v>0</v>
      </c>
      <c r="F25" s="17" t="n">
        <f aca="false">SUMPRODUCT((Référentiel!$F$5:$F$18&gt;0)*(Référentiel!$C$5:$C$18=0))</f>
        <v>2</v>
      </c>
    </row>
    <row r="26" customFormat="false" ht="15" hidden="false" customHeight="false" outlineLevel="0" collapsed="false">
      <c r="A26" s="15" t="str">
        <f aca="false">Référentiel!D4</f>
        <v>Gestionnaire de paie</v>
      </c>
      <c r="B26" s="17" t="n">
        <f aca="false">SUMPRODUCT((Référentiel!$B$5:$B$18&gt;0)*(Référentiel!$D$5:$D$18=0))</f>
        <v>2</v>
      </c>
      <c r="C26" s="17" t="n">
        <f aca="false">SUMPRODUCT((Référentiel!$C$5:$C$18&gt;0)*(Référentiel!$D$5:$D$18=0))</f>
        <v>2</v>
      </c>
      <c r="D26" s="17" t="n">
        <f aca="false">SUMPRODUCT((Référentiel!$D$5:$D$18&gt;0)*(Référentiel!$D$5:$D$18=0))</f>
        <v>0</v>
      </c>
      <c r="E26" s="17" t="n">
        <f aca="false">SUMPRODUCT((Référentiel!$E$5:$E$18&gt;0)*(Référentiel!$D$5:$D$18=0))</f>
        <v>2</v>
      </c>
      <c r="F26" s="17" t="n">
        <f aca="false">SUMPRODUCT((Référentiel!$F$5:$F$18&gt;0)*(Référentiel!$D$5:$D$18=0))</f>
        <v>4</v>
      </c>
    </row>
    <row r="27" customFormat="false" ht="15" hidden="false" customHeight="false" outlineLevel="0" collapsed="false">
      <c r="A27" s="15" t="str">
        <f aca="false">Référentiel!E4</f>
        <v>Chargé de recrutement</v>
      </c>
      <c r="B27" s="17" t="n">
        <f aca="false">SUMPRODUCT((Référentiel!$B$5:$B$18&gt;0)*(Référentiel!$E$5:$E$18=0))</f>
        <v>1</v>
      </c>
      <c r="C27" s="17" t="n">
        <f aca="false">SUMPRODUCT((Référentiel!$C$5:$C$18&gt;0)*(Référentiel!$E$5:$E$18=0))</f>
        <v>2</v>
      </c>
      <c r="D27" s="17" t="n">
        <f aca="false">SUMPRODUCT((Référentiel!$D$5:$D$18&gt;0)*(Référentiel!$E$5:$E$18=0))</f>
        <v>2</v>
      </c>
      <c r="E27" s="17" t="n">
        <f aca="false">SUMPRODUCT((Référentiel!$E$5:$E$18&gt;0)*(Référentiel!$E$5:$E$18=0))</f>
        <v>0</v>
      </c>
      <c r="F27" s="17" t="n">
        <f aca="false">SUMPRODUCT((Référentiel!$F$5:$F$18&gt;0)*(Référentiel!$E$5:$E$18=0))</f>
        <v>4</v>
      </c>
    </row>
    <row r="28" customFormat="false" ht="15" hidden="false" customHeight="false" outlineLevel="0" collapsed="false">
      <c r="A28" s="15" t="str">
        <f aca="false">Référentiel!F4</f>
        <v>Responsable RH</v>
      </c>
      <c r="B28" s="17" t="n">
        <f aca="false">SUMPRODUCT((Référentiel!$B$5:$B$18&gt;0)*(Référentiel!$F$5:$F$18=0))</f>
        <v>0</v>
      </c>
      <c r="C28" s="17" t="n">
        <f aca="false">SUMPRODUCT((Référentiel!$C$5:$C$18&gt;0)*(Référentiel!$F$5:$F$18=0))</f>
        <v>0</v>
      </c>
      <c r="D28" s="17" t="n">
        <f aca="false">SUMPRODUCT((Référentiel!$D$5:$D$18&gt;0)*(Référentiel!$F$5:$F$18=0))</f>
        <v>0</v>
      </c>
      <c r="E28" s="17" t="n">
        <f aca="false">SUMPRODUCT((Référentiel!$E$5:$E$18&gt;0)*(Référentiel!$F$5:$F$18=0))</f>
        <v>0</v>
      </c>
      <c r="F28" s="17" t="n">
        <f aca="false">SUMPRODUCT((Référentiel!$F$5:$F$18&gt;0)*(Référentiel!$F$5:$F$18=0))</f>
        <v>0</v>
      </c>
    </row>
    <row r="31" customFormat="false" ht="15" hidden="false" customHeight="false" outlineLevel="0" collapsed="false">
      <c r="A31" s="10" t="s">
        <v>76</v>
      </c>
    </row>
    <row r="32" customFormat="false" ht="42" hidden="false" customHeight="true" outlineLevel="0" collapsed="false">
      <c r="A32" s="6" t="s">
        <v>73</v>
      </c>
      <c r="B32" s="6" t="str">
        <f aca="false">Référentiel!B4</f>
        <v>Assistant RH généraliste</v>
      </c>
      <c r="C32" s="6" t="str">
        <f aca="false">Référentiel!C4</f>
        <v>Chargé de mission RH</v>
      </c>
      <c r="D32" s="6" t="str">
        <f aca="false">Référentiel!D4</f>
        <v>Gestionnaire de paie</v>
      </c>
      <c r="E32" s="6" t="str">
        <f aca="false">Référentiel!E4</f>
        <v>Chargé de recrutement</v>
      </c>
      <c r="F32" s="6" t="str">
        <f aca="false">Référentiel!F4</f>
        <v>Responsable RH</v>
      </c>
    </row>
    <row r="33" customFormat="false" ht="15" hidden="false" customHeight="false" outlineLevel="0" collapsed="false">
      <c r="A33" s="15" t="str">
        <f aca="false">Référentiel!B4</f>
        <v>Assistant RH généraliste</v>
      </c>
      <c r="B33" s="17" t="n">
        <f aca="false">SUMPRODUCT((Référentiel!$B$5:$B$18&gt;0)*(Référentiel!$B$5:$B$18&gt;0)*(Référentiel!$B$5:$B$18&lt;Référentiel!$B$5:$B$18))</f>
        <v>0</v>
      </c>
      <c r="C33" s="17" t="n">
        <f aca="false">SUMPRODUCT((Référentiel!$C$5:$C$18&gt;0)*(Référentiel!$B$5:$B$18&gt;0)*(Référentiel!$B$5:$B$18&lt;Référentiel!$C$5:$C$18))</f>
        <v>4</v>
      </c>
      <c r="D33" s="17" t="n">
        <f aca="false">SUMPRODUCT((Référentiel!$D$5:$D$18&gt;0)*(Référentiel!$B$5:$B$18&gt;0)*(Référentiel!$B$5:$B$18&lt;Référentiel!$D$5:$D$18))</f>
        <v>3</v>
      </c>
      <c r="E33" s="17" t="n">
        <f aca="false">SUMPRODUCT((Référentiel!$E$5:$E$18&gt;0)*(Référentiel!$B$5:$B$18&gt;0)*(Référentiel!$B$5:$B$18&lt;Référentiel!$E$5:$E$18))</f>
        <v>2</v>
      </c>
      <c r="F33" s="17" t="n">
        <f aca="false">SUMPRODUCT((Référentiel!$F$5:$F$18&gt;0)*(Référentiel!$B$5:$B$18&gt;0)*(Référentiel!$B$5:$B$18&lt;Référentiel!$F$5:$F$18))</f>
        <v>5</v>
      </c>
    </row>
    <row r="34" customFormat="false" ht="15" hidden="false" customHeight="false" outlineLevel="0" collapsed="false">
      <c r="A34" s="15" t="str">
        <f aca="false">Référentiel!C4</f>
        <v>Chargé de mission RH</v>
      </c>
      <c r="B34" s="17" t="n">
        <f aca="false">SUMPRODUCT((Référentiel!$B$5:$B$18&gt;0)*(Référentiel!$C$5:$C$18&gt;0)*(Référentiel!$C$5:$C$18&lt;Référentiel!$B$5:$B$18))</f>
        <v>2</v>
      </c>
      <c r="C34" s="17" t="n">
        <f aca="false">SUMPRODUCT((Référentiel!$C$5:$C$18&gt;0)*(Référentiel!$C$5:$C$18&gt;0)*(Référentiel!$C$5:$C$18&lt;Référentiel!$C$5:$C$18))</f>
        <v>0</v>
      </c>
      <c r="D34" s="17" t="n">
        <f aca="false">SUMPRODUCT((Référentiel!$D$5:$D$18&gt;0)*(Référentiel!$C$5:$C$18&gt;0)*(Référentiel!$C$5:$C$18&lt;Référentiel!$D$5:$D$18))</f>
        <v>1</v>
      </c>
      <c r="E34" s="17" t="n">
        <f aca="false">SUMPRODUCT((Référentiel!$E$5:$E$18&gt;0)*(Référentiel!$C$5:$C$18&gt;0)*(Référentiel!$C$5:$C$18&lt;Référentiel!$E$5:$E$18))</f>
        <v>1</v>
      </c>
      <c r="F34" s="17" t="n">
        <f aca="false">SUMPRODUCT((Référentiel!$F$5:$F$18&gt;0)*(Référentiel!$C$5:$C$18&gt;0)*(Référentiel!$C$5:$C$18&lt;Référentiel!$F$5:$F$18))</f>
        <v>4</v>
      </c>
    </row>
    <row r="35" customFormat="false" ht="15" hidden="false" customHeight="false" outlineLevel="0" collapsed="false">
      <c r="A35" s="15" t="str">
        <f aca="false">Référentiel!D4</f>
        <v>Gestionnaire de paie</v>
      </c>
      <c r="B35" s="17" t="n">
        <f aca="false">SUMPRODUCT((Référentiel!$B$5:$B$18&gt;0)*(Référentiel!$D$5:$D$18&gt;0)*(Référentiel!$D$5:$D$18&lt;Référentiel!$B$5:$B$18))</f>
        <v>1</v>
      </c>
      <c r="C35" s="17" t="n">
        <f aca="false">SUMPRODUCT((Référentiel!$C$5:$C$18&gt;0)*(Référentiel!$D$5:$D$18&gt;0)*(Référentiel!$D$5:$D$18&lt;Référentiel!$C$5:$C$18))</f>
        <v>2</v>
      </c>
      <c r="D35" s="17" t="n">
        <f aca="false">SUMPRODUCT((Référentiel!$D$5:$D$18&gt;0)*(Référentiel!$D$5:$D$18&gt;0)*(Référentiel!$D$5:$D$18&lt;Référentiel!$D$5:$D$18))</f>
        <v>0</v>
      </c>
      <c r="E35" s="17" t="n">
        <f aca="false">SUMPRODUCT((Référentiel!$E$5:$E$18&gt;0)*(Référentiel!$D$5:$D$18&gt;0)*(Référentiel!$D$5:$D$18&lt;Référentiel!$E$5:$E$18))</f>
        <v>1</v>
      </c>
      <c r="F35" s="17" t="n">
        <f aca="false">SUMPRODUCT((Référentiel!$F$5:$F$18&gt;0)*(Référentiel!$D$5:$D$18&gt;0)*(Référentiel!$D$5:$D$18&lt;Référentiel!$F$5:$F$18))</f>
        <v>3</v>
      </c>
    </row>
    <row r="36" customFormat="false" ht="15" hidden="false" customHeight="false" outlineLevel="0" collapsed="false">
      <c r="A36" s="15" t="str">
        <f aca="false">Référentiel!E4</f>
        <v>Chargé de recrutement</v>
      </c>
      <c r="B36" s="17" t="n">
        <f aca="false">SUMPRODUCT((Référentiel!$B$5:$B$18&gt;0)*(Référentiel!$E$5:$E$18&gt;0)*(Référentiel!$E$5:$E$18&lt;Référentiel!$B$5:$B$18))</f>
        <v>1</v>
      </c>
      <c r="C36" s="17" t="n">
        <f aca="false">SUMPRODUCT((Référentiel!$C$5:$C$18&gt;0)*(Référentiel!$E$5:$E$18&gt;0)*(Référentiel!$E$5:$E$18&lt;Référentiel!$C$5:$C$18))</f>
        <v>5</v>
      </c>
      <c r="D36" s="17" t="n">
        <f aca="false">SUMPRODUCT((Référentiel!$D$5:$D$18&gt;0)*(Référentiel!$E$5:$E$18&gt;0)*(Référentiel!$E$5:$E$18&lt;Référentiel!$D$5:$D$18))</f>
        <v>3</v>
      </c>
      <c r="E36" s="17" t="n">
        <f aca="false">SUMPRODUCT((Référentiel!$E$5:$E$18&gt;0)*(Référentiel!$E$5:$E$18&gt;0)*(Référentiel!$E$5:$E$18&lt;Référentiel!$E$5:$E$18))</f>
        <v>0</v>
      </c>
      <c r="F36" s="17" t="n">
        <f aca="false">SUMPRODUCT((Référentiel!$F$5:$F$18&gt;0)*(Référentiel!$E$5:$E$18&gt;0)*(Référentiel!$E$5:$E$18&lt;Référentiel!$F$5:$F$18))</f>
        <v>5</v>
      </c>
    </row>
    <row r="37" customFormat="false" ht="15" hidden="false" customHeight="false" outlineLevel="0" collapsed="false">
      <c r="A37" s="15" t="str">
        <f aca="false">Référentiel!F4</f>
        <v>Responsable RH</v>
      </c>
      <c r="B37" s="17" t="n">
        <f aca="false">SUMPRODUCT((Référentiel!$B$5:$B$18&gt;0)*(Référentiel!$F$5:$F$18&gt;0)*(Référentiel!$F$5:$F$18&lt;Référentiel!$B$5:$B$18))</f>
        <v>1</v>
      </c>
      <c r="C37" s="17" t="n">
        <f aca="false">SUMPRODUCT((Référentiel!$C$5:$C$18&gt;0)*(Référentiel!$F$5:$F$18&gt;0)*(Référentiel!$F$5:$F$18&lt;Référentiel!$C$5:$C$18))</f>
        <v>0</v>
      </c>
      <c r="D37" s="17" t="n">
        <f aca="false">SUMPRODUCT((Référentiel!$D$5:$D$18&gt;0)*(Référentiel!$F$5:$F$18&gt;0)*(Référentiel!$F$5:$F$18&lt;Référentiel!$D$5:$D$18))</f>
        <v>1</v>
      </c>
      <c r="E37" s="17" t="n">
        <f aca="false">SUMPRODUCT((Référentiel!$E$5:$E$18&gt;0)*(Référentiel!$F$5:$F$18&gt;0)*(Référentiel!$F$5:$F$18&lt;Référentiel!$E$5:$E$18))</f>
        <v>1</v>
      </c>
      <c r="F37" s="17" t="n">
        <f aca="false">SUMPRODUCT((Référentiel!$F$5:$F$18&gt;0)*(Référentiel!$F$5:$F$18&gt;0)*(Référentiel!$F$5:$F$18&lt;Référentiel!$F$5:$F$18))</f>
        <v>0</v>
      </c>
    </row>
    <row r="39" customFormat="false" ht="15" hidden="false" customHeight="false" outlineLevel="0" collapsed="false">
      <c r="A39" s="5" t="s">
        <v>77</v>
      </c>
    </row>
    <row r="40" customFormat="false" ht="15" hidden="false" customHeight="false" outlineLevel="0" collapsed="false">
      <c r="A40" s="5" t="s">
        <v>78</v>
      </c>
    </row>
  </sheetData>
  <conditionalFormatting sqref="B6:F10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B15:F19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B24:F28">
    <cfRule type="colorScale" priority="4">
      <colorScale>
        <cfvo type="num" val="0"/>
        <cfvo type="num" val="3"/>
        <cfvo type="num" val="6"/>
        <color rgb="FF63BE7B"/>
        <color rgb="FFFFEB84"/>
        <color rgb="FFF8696B"/>
      </colorScale>
    </cfRule>
  </conditionalFormatting>
  <conditionalFormatting sqref="B33:F37">
    <cfRule type="colorScale" priority="5">
      <colorScale>
        <cfvo type="num" val="0"/>
        <cfvo type="num" val="3"/>
        <cfvo type="num" val="6"/>
        <color rgb="FF63BE7B"/>
        <color rgb="FFFFEB84"/>
        <color rgb="FFF8696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7"/>
    <col collapsed="false" customWidth="true" hidden="false" outlineLevel="0" max="3" min="3" style="0" width="17"/>
    <col collapsed="false" customWidth="true" hidden="false" outlineLevel="0" max="4" min="4" style="0" width="22"/>
    <col collapsed="false" customWidth="true" hidden="false" outlineLevel="0" max="9" min="5" style="0" width="17"/>
  </cols>
  <sheetData>
    <row r="1" customFormat="false" ht="17.35" hidden="false" customHeight="false" outlineLevel="0" collapsed="false">
      <c r="A1" s="4" t="s">
        <v>79</v>
      </c>
    </row>
    <row r="3" customFormat="false" ht="15" hidden="false" customHeight="false" outlineLevel="0" collapsed="false">
      <c r="A3" s="18" t="s">
        <v>80</v>
      </c>
      <c r="B3" s="19" t="s">
        <v>54</v>
      </c>
      <c r="C3" s="5" t="s">
        <v>81</v>
      </c>
    </row>
    <row r="4" customFormat="false" ht="15" hidden="false" customHeight="false" outlineLevel="0" collapsed="false">
      <c r="A4" s="18" t="s">
        <v>82</v>
      </c>
      <c r="B4" s="19" t="s">
        <v>58</v>
      </c>
    </row>
    <row r="6" customFormat="false" ht="45" hidden="false" customHeight="true" outlineLevel="0" collapsed="false">
      <c r="A6" s="6" t="s">
        <v>53</v>
      </c>
      <c r="B6" s="6" t="s">
        <v>83</v>
      </c>
      <c r="C6" s="6" t="s">
        <v>84</v>
      </c>
      <c r="D6" s="6" t="s">
        <v>85</v>
      </c>
      <c r="E6" s="6" t="s">
        <v>86</v>
      </c>
      <c r="F6" s="6" t="s">
        <v>87</v>
      </c>
      <c r="G6" s="6" t="s">
        <v>88</v>
      </c>
      <c r="H6" s="6" t="s">
        <v>89</v>
      </c>
      <c r="I6" s="6" t="s">
        <v>90</v>
      </c>
    </row>
    <row r="7" customFormat="false" ht="15" hidden="false" customHeight="false" outlineLevel="0" collapsed="false">
      <c r="A7" s="20" t="str">
        <f aca="false">IF(Référentiel!A5="","",Référentiel!A5)</f>
        <v>Administration du personnel</v>
      </c>
      <c r="B7" s="7" t="n">
        <f aca="false">IF($A7="","",INDEX(Référentiel!$B5:$F5,MATCH($B$3,Référentiel!$B$4:$F$4,0)))</f>
        <v>4</v>
      </c>
      <c r="C7" s="7" t="n">
        <f aca="false">IF($A7="","",INDEX(Référentiel!$B5:$F5,MATCH($B$4,Référentiel!$B$4:$F$4,0)))</f>
        <v>3</v>
      </c>
      <c r="D7" s="7" t="str">
        <f aca="false">IF($A7="","",IF(C7=0,"Non requise",IF(B7&gt;=C7,"Commune (suffisant)",IF(B7&gt;0,"À faire évoluer","À acquérir"))))</f>
        <v>Commune (suffisant)</v>
      </c>
      <c r="E7" s="7" t="n">
        <f aca="false">IF($A7="","",MAX(0,C7-B7))</f>
        <v>0</v>
      </c>
      <c r="F7" s="7" t="n">
        <f aca="false">IF($A7="","",Référentiel!$G5)</f>
        <v>1</v>
      </c>
      <c r="G7" s="7" t="n">
        <f aca="false">IF($A7="","",E7*F7)</f>
        <v>0</v>
      </c>
      <c r="H7" s="7" t="n">
        <f aca="false">IF($A7="","",C7*F7)</f>
        <v>3</v>
      </c>
      <c r="I7" s="7" t="n">
        <f aca="false">IF($A7="","",MIN(B7,C7))</f>
        <v>3</v>
      </c>
    </row>
    <row r="8" customFormat="false" ht="15" hidden="false" customHeight="false" outlineLevel="0" collapsed="false">
      <c r="A8" s="20" t="str">
        <f aca="false">IF(Référentiel!A6="","",Référentiel!A6)</f>
        <v>Paie et déclarations sociales</v>
      </c>
      <c r="B8" s="7" t="n">
        <f aca="false">IF($A8="","",INDEX(Référentiel!$B6:$F6,MATCH($B$3,Référentiel!$B$4:$F$4,0)))</f>
        <v>2</v>
      </c>
      <c r="C8" s="7" t="n">
        <f aca="false">IF($A8="","",INDEX(Référentiel!$B6:$F6,MATCH($B$4,Référentiel!$B$4:$F$4,0)))</f>
        <v>2</v>
      </c>
      <c r="D8" s="7" t="str">
        <f aca="false">IF($A8="","",IF(C8=0,"Non requise",IF(B8&gt;=C8,"Commune (suffisant)",IF(B8&gt;0,"À faire évoluer","À acquérir"))))</f>
        <v>Commune (suffisant)</v>
      </c>
      <c r="E8" s="7" t="n">
        <f aca="false">IF($A8="","",MAX(0,C8-B8))</f>
        <v>0</v>
      </c>
      <c r="F8" s="7" t="n">
        <f aca="false">IF($A8="","",Référentiel!$G6)</f>
        <v>3</v>
      </c>
      <c r="G8" s="7" t="n">
        <f aca="false">IF($A8="","",E8*F8)</f>
        <v>0</v>
      </c>
      <c r="H8" s="7" t="n">
        <f aca="false">IF($A8="","",C8*F8)</f>
        <v>6</v>
      </c>
      <c r="I8" s="7" t="n">
        <f aca="false">IF($A8="","",MIN(B8,C8))</f>
        <v>2</v>
      </c>
    </row>
    <row r="9" customFormat="false" ht="15" hidden="false" customHeight="false" outlineLevel="0" collapsed="false">
      <c r="A9" s="20" t="str">
        <f aca="false">IF(Référentiel!A7="","",Référentiel!A7)</f>
        <v>Recrutement et intégration</v>
      </c>
      <c r="B9" s="7" t="n">
        <f aca="false">IF($A9="","",INDEX(Référentiel!$B7:$F7,MATCH($B$3,Référentiel!$B$4:$F$4,0)))</f>
        <v>2</v>
      </c>
      <c r="C9" s="7" t="n">
        <f aca="false">IF($A9="","",INDEX(Référentiel!$B7:$F7,MATCH($B$4,Référentiel!$B$4:$F$4,0)))</f>
        <v>3</v>
      </c>
      <c r="D9" s="7" t="str">
        <f aca="false">IF($A9="","",IF(C9=0,"Non requise",IF(B9&gt;=C9,"Commune (suffisant)",IF(B9&gt;0,"À faire évoluer","À acquérir"))))</f>
        <v>À faire évoluer</v>
      </c>
      <c r="E9" s="7" t="n">
        <f aca="false">IF($A9="","",MAX(0,C9-B9))</f>
        <v>1</v>
      </c>
      <c r="F9" s="7" t="n">
        <f aca="false">IF($A9="","",Référentiel!$G7)</f>
        <v>2</v>
      </c>
      <c r="G9" s="7" t="n">
        <f aca="false">IF($A9="","",E9*F9)</f>
        <v>2</v>
      </c>
      <c r="H9" s="7" t="n">
        <f aca="false">IF($A9="","",C9*F9)</f>
        <v>6</v>
      </c>
      <c r="I9" s="7" t="n">
        <f aca="false">IF($A9="","",MIN(B9,C9))</f>
        <v>2</v>
      </c>
    </row>
    <row r="10" customFormat="false" ht="15" hidden="false" customHeight="false" outlineLevel="0" collapsed="false">
      <c r="A10" s="20" t="str">
        <f aca="false">IF(Référentiel!A8="","",Référentiel!A8)</f>
        <v>Formation et développement des compétences</v>
      </c>
      <c r="B10" s="7" t="n">
        <f aca="false">IF($A10="","",INDEX(Référentiel!$B8:$F8,MATCH($B$3,Référentiel!$B$4:$F$4,0)))</f>
        <v>1</v>
      </c>
      <c r="C10" s="7" t="n">
        <f aca="false">IF($A10="","",INDEX(Référentiel!$B8:$F8,MATCH($B$4,Référentiel!$B$4:$F$4,0)))</f>
        <v>3</v>
      </c>
      <c r="D10" s="7" t="str">
        <f aca="false">IF($A10="","",IF(C10=0,"Non requise",IF(B10&gt;=C10,"Commune (suffisant)",IF(B10&gt;0,"À faire évoluer","À acquérir"))))</f>
        <v>À faire évoluer</v>
      </c>
      <c r="E10" s="7" t="n">
        <f aca="false">IF($A10="","",MAX(0,C10-B10))</f>
        <v>2</v>
      </c>
      <c r="F10" s="7" t="n">
        <f aca="false">IF($A10="","",Référentiel!$G8)</f>
        <v>2</v>
      </c>
      <c r="G10" s="7" t="n">
        <f aca="false">IF($A10="","",E10*F10)</f>
        <v>4</v>
      </c>
      <c r="H10" s="7" t="n">
        <f aca="false">IF($A10="","",C10*F10)</f>
        <v>6</v>
      </c>
      <c r="I10" s="7" t="n">
        <f aca="false">IF($A10="","",MIN(B10,C10))</f>
        <v>1</v>
      </c>
    </row>
    <row r="11" customFormat="false" ht="15" hidden="false" customHeight="false" outlineLevel="0" collapsed="false">
      <c r="A11" s="20" t="str">
        <f aca="false">IF(Référentiel!A9="","",Référentiel!A9)</f>
        <v>Droit du travail</v>
      </c>
      <c r="B11" s="7" t="n">
        <f aca="false">IF($A11="","",INDEX(Référentiel!$B9:$F9,MATCH($B$3,Référentiel!$B$4:$F$4,0)))</f>
        <v>2</v>
      </c>
      <c r="C11" s="7" t="n">
        <f aca="false">IF($A11="","",INDEX(Référentiel!$B9:$F9,MATCH($B$4,Référentiel!$B$4:$F$4,0)))</f>
        <v>4</v>
      </c>
      <c r="D11" s="7" t="str">
        <f aca="false">IF($A11="","",IF(C11=0,"Non requise",IF(B11&gt;=C11,"Commune (suffisant)",IF(B11&gt;0,"À faire évoluer","À acquérir"))))</f>
        <v>À faire évoluer</v>
      </c>
      <c r="E11" s="7" t="n">
        <f aca="false">IF($A11="","",MAX(0,C11-B11))</f>
        <v>2</v>
      </c>
      <c r="F11" s="7" t="n">
        <f aca="false">IF($A11="","",Référentiel!$G9)</f>
        <v>3</v>
      </c>
      <c r="G11" s="7" t="n">
        <f aca="false">IF($A11="","",E11*F11)</f>
        <v>6</v>
      </c>
      <c r="H11" s="7" t="n">
        <f aca="false">IF($A11="","",C11*F11)</f>
        <v>12</v>
      </c>
      <c r="I11" s="7" t="n">
        <f aca="false">IF($A11="","",MIN(B11,C11))</f>
        <v>2</v>
      </c>
    </row>
    <row r="12" customFormat="false" ht="15" hidden="false" customHeight="false" outlineLevel="0" collapsed="false">
      <c r="A12" s="20" t="str">
        <f aca="false">IF(Référentiel!A10="","",Référentiel!A10)</f>
        <v>Relations sociales (IRP)</v>
      </c>
      <c r="B12" s="7" t="n">
        <f aca="false">IF($A12="","",INDEX(Référentiel!$B10:$F10,MATCH($B$3,Référentiel!$B$4:$F$4,0)))</f>
        <v>0</v>
      </c>
      <c r="C12" s="7" t="n">
        <f aca="false">IF($A12="","",INDEX(Référentiel!$B10:$F10,MATCH($B$4,Référentiel!$B$4:$F$4,0)))</f>
        <v>4</v>
      </c>
      <c r="D12" s="7" t="str">
        <f aca="false">IF($A12="","",IF(C12=0,"Non requise",IF(B12&gt;=C12,"Commune (suffisant)",IF(B12&gt;0,"À faire évoluer","À acquérir"))))</f>
        <v>À acquérir</v>
      </c>
      <c r="E12" s="7" t="n">
        <f aca="false">IF($A12="","",MAX(0,C12-B12))</f>
        <v>4</v>
      </c>
      <c r="F12" s="7" t="n">
        <f aca="false">IF($A12="","",Référentiel!$G10)</f>
        <v>3</v>
      </c>
      <c r="G12" s="7" t="n">
        <f aca="false">IF($A12="","",E12*F12)</f>
        <v>12</v>
      </c>
      <c r="H12" s="7" t="n">
        <f aca="false">IF($A12="","",C12*F12)</f>
        <v>12</v>
      </c>
      <c r="I12" s="7" t="n">
        <f aca="false">IF($A12="","",MIN(B12,C12))</f>
        <v>0</v>
      </c>
    </row>
    <row r="13" customFormat="false" ht="15" hidden="false" customHeight="false" outlineLevel="0" collapsed="false">
      <c r="A13" s="20" t="str">
        <f aca="false">IF(Référentiel!A11="","",Référentiel!A11)</f>
        <v>SIRH et analyse de données</v>
      </c>
      <c r="B13" s="7" t="n">
        <f aca="false">IF($A13="","",INDEX(Référentiel!$B11:$F11,MATCH($B$3,Référentiel!$B$4:$F$4,0)))</f>
        <v>2</v>
      </c>
      <c r="C13" s="7" t="n">
        <f aca="false">IF($A13="","",INDEX(Référentiel!$B11:$F11,MATCH($B$4,Référentiel!$B$4:$F$4,0)))</f>
        <v>3</v>
      </c>
      <c r="D13" s="7" t="str">
        <f aca="false">IF($A13="","",IF(C13=0,"Non requise",IF(B13&gt;=C13,"Commune (suffisant)",IF(B13&gt;0,"À faire évoluer","À acquérir"))))</f>
        <v>À faire évoluer</v>
      </c>
      <c r="E13" s="7" t="n">
        <f aca="false">IF($A13="","",MAX(0,C13-B13))</f>
        <v>1</v>
      </c>
      <c r="F13" s="7" t="n">
        <f aca="false">IF($A13="","",Référentiel!$G11)</f>
        <v>2</v>
      </c>
      <c r="G13" s="7" t="n">
        <f aca="false">IF($A13="","",E13*F13)</f>
        <v>2</v>
      </c>
      <c r="H13" s="7" t="n">
        <f aca="false">IF($A13="","",C13*F13)</f>
        <v>6</v>
      </c>
      <c r="I13" s="7" t="n">
        <f aca="false">IF($A13="","",MIN(B13,C13))</f>
        <v>2</v>
      </c>
    </row>
    <row r="14" customFormat="false" ht="15" hidden="false" customHeight="false" outlineLevel="0" collapsed="false">
      <c r="A14" s="20" t="str">
        <f aca="false">IF(Référentiel!A12="","",Référentiel!A12)</f>
        <v>Conduite de projet RH</v>
      </c>
      <c r="B14" s="7" t="n">
        <f aca="false">IF($A14="","",INDEX(Référentiel!$B12:$F12,MATCH($B$3,Référentiel!$B$4:$F$4,0)))</f>
        <v>1</v>
      </c>
      <c r="C14" s="7" t="n">
        <f aca="false">IF($A14="","",INDEX(Référentiel!$B12:$F12,MATCH($B$4,Référentiel!$B$4:$F$4,0)))</f>
        <v>4</v>
      </c>
      <c r="D14" s="7" t="str">
        <f aca="false">IF($A14="","",IF(C14=0,"Non requise",IF(B14&gt;=C14,"Commune (suffisant)",IF(B14&gt;0,"À faire évoluer","À acquérir"))))</f>
        <v>À faire évoluer</v>
      </c>
      <c r="E14" s="7" t="n">
        <f aca="false">IF($A14="","",MAX(0,C14-B14))</f>
        <v>3</v>
      </c>
      <c r="F14" s="7" t="n">
        <f aca="false">IF($A14="","",Référentiel!$G12)</f>
        <v>2</v>
      </c>
      <c r="G14" s="7" t="n">
        <f aca="false">IF($A14="","",E14*F14)</f>
        <v>6</v>
      </c>
      <c r="H14" s="7" t="n">
        <f aca="false">IF($A14="","",C14*F14)</f>
        <v>8</v>
      </c>
      <c r="I14" s="7" t="n">
        <f aca="false">IF($A14="","",MIN(B14,C14))</f>
        <v>1</v>
      </c>
    </row>
    <row r="15" customFormat="false" ht="15" hidden="false" customHeight="false" outlineLevel="0" collapsed="false">
      <c r="A15" s="20" t="str">
        <f aca="false">IF(Référentiel!A13="","",Référentiel!A13)</f>
        <v>Management d'équipe</v>
      </c>
      <c r="B15" s="7" t="n">
        <f aca="false">IF($A15="","",INDEX(Référentiel!$B13:$F13,MATCH($B$3,Référentiel!$B$4:$F$4,0)))</f>
        <v>0</v>
      </c>
      <c r="C15" s="7" t="n">
        <f aca="false">IF($A15="","",INDEX(Référentiel!$B13:$F13,MATCH($B$4,Référentiel!$B$4:$F$4,0)))</f>
        <v>4</v>
      </c>
      <c r="D15" s="7" t="str">
        <f aca="false">IF($A15="","",IF(C15=0,"Non requise",IF(B15&gt;=C15,"Commune (suffisant)",IF(B15&gt;0,"À faire évoluer","À acquérir"))))</f>
        <v>À acquérir</v>
      </c>
      <c r="E15" s="7" t="n">
        <f aca="false">IF($A15="","",MAX(0,C15-B15))</f>
        <v>4</v>
      </c>
      <c r="F15" s="7" t="n">
        <f aca="false">IF($A15="","",Référentiel!$G13)</f>
        <v>3</v>
      </c>
      <c r="G15" s="7" t="n">
        <f aca="false">IF($A15="","",E15*F15)</f>
        <v>12</v>
      </c>
      <c r="H15" s="7" t="n">
        <f aca="false">IF($A15="","",C15*F15)</f>
        <v>12</v>
      </c>
      <c r="I15" s="7" t="n">
        <f aca="false">IF($A15="","",MIN(B15,C15))</f>
        <v>0</v>
      </c>
    </row>
    <row r="16" customFormat="false" ht="15" hidden="false" customHeight="false" outlineLevel="0" collapsed="false">
      <c r="A16" s="20" t="str">
        <f aca="false">IF(Référentiel!A14="","",Référentiel!A14)</f>
        <v>Pilotage et stratégie RH</v>
      </c>
      <c r="B16" s="7" t="n">
        <f aca="false">IF($A16="","",INDEX(Référentiel!$B14:$F14,MATCH($B$3,Référentiel!$B$4:$F$4,0)))</f>
        <v>0</v>
      </c>
      <c r="C16" s="7" t="n">
        <f aca="false">IF($A16="","",INDEX(Référentiel!$B14:$F14,MATCH($B$4,Référentiel!$B$4:$F$4,0)))</f>
        <v>4</v>
      </c>
      <c r="D16" s="7" t="str">
        <f aca="false">IF($A16="","",IF(C16=0,"Non requise",IF(B16&gt;=C16,"Commune (suffisant)",IF(B16&gt;0,"À faire évoluer","À acquérir"))))</f>
        <v>À acquérir</v>
      </c>
      <c r="E16" s="7" t="n">
        <f aca="false">IF($A16="","",MAX(0,C16-B16))</f>
        <v>4</v>
      </c>
      <c r="F16" s="7" t="n">
        <f aca="false">IF($A16="","",Référentiel!$G14)</f>
        <v>3</v>
      </c>
      <c r="G16" s="7" t="n">
        <f aca="false">IF($A16="","",E16*F16)</f>
        <v>12</v>
      </c>
      <c r="H16" s="7" t="n">
        <f aca="false">IF($A16="","",C16*F16)</f>
        <v>12</v>
      </c>
      <c r="I16" s="7" t="n">
        <f aca="false">IF($A16="","",MIN(B16,C16))</f>
        <v>0</v>
      </c>
    </row>
    <row r="17" customFormat="false" ht="15" hidden="false" customHeight="false" outlineLevel="0" collapsed="false">
      <c r="A17" s="20" t="str">
        <f aca="false">IF(Référentiel!A15="","",Référentiel!A15)</f>
        <v/>
      </c>
      <c r="B17" s="7" t="str">
        <f aca="false">IF($A17="","",INDEX(Référentiel!$B15:$F15,MATCH($B$3,Référentiel!$B$4:$F$4,0)))</f>
        <v/>
      </c>
      <c r="C17" s="7" t="str">
        <f aca="false">IF($A17="","",INDEX(Référentiel!$B15:$F15,MATCH($B$4,Référentiel!$B$4:$F$4,0)))</f>
        <v/>
      </c>
      <c r="D17" s="7" t="str">
        <f aca="false">IF($A17="","",IF(C17=0,"Non requise",IF(B17&gt;=C17,"Commune (suffisant)",IF(B17&gt;0,"À faire évoluer","À acquérir"))))</f>
        <v/>
      </c>
      <c r="E17" s="7" t="str">
        <f aca="false">IF($A17="","",MAX(0,C17-B17))</f>
        <v/>
      </c>
      <c r="F17" s="7" t="str">
        <f aca="false">IF($A17="","",Référentiel!$G15)</f>
        <v/>
      </c>
      <c r="G17" s="7" t="str">
        <f aca="false">IF($A17="","",E17*F17)</f>
        <v/>
      </c>
      <c r="H17" s="7" t="str">
        <f aca="false">IF($A17="","",C17*F17)</f>
        <v/>
      </c>
      <c r="I17" s="7" t="str">
        <f aca="false">IF($A17="","",MIN(B17,C17))</f>
        <v/>
      </c>
    </row>
    <row r="18" customFormat="false" ht="15" hidden="false" customHeight="false" outlineLevel="0" collapsed="false">
      <c r="A18" s="20" t="str">
        <f aca="false">IF(Référentiel!A16="","",Référentiel!A16)</f>
        <v/>
      </c>
      <c r="B18" s="7" t="str">
        <f aca="false">IF($A18="","",INDEX(Référentiel!$B16:$F16,MATCH($B$3,Référentiel!$B$4:$F$4,0)))</f>
        <v/>
      </c>
      <c r="C18" s="7" t="str">
        <f aca="false">IF($A18="","",INDEX(Référentiel!$B16:$F16,MATCH($B$4,Référentiel!$B$4:$F$4,0)))</f>
        <v/>
      </c>
      <c r="D18" s="7" t="str">
        <f aca="false">IF($A18="","",IF(C18=0,"Non requise",IF(B18&gt;=C18,"Commune (suffisant)",IF(B18&gt;0,"À faire évoluer","À acquérir"))))</f>
        <v/>
      </c>
      <c r="E18" s="7" t="str">
        <f aca="false">IF($A18="","",MAX(0,C18-B18))</f>
        <v/>
      </c>
      <c r="F18" s="7" t="str">
        <f aca="false">IF($A18="","",Référentiel!$G16)</f>
        <v/>
      </c>
      <c r="G18" s="7" t="str">
        <f aca="false">IF($A18="","",E18*F18)</f>
        <v/>
      </c>
      <c r="H18" s="7" t="str">
        <f aca="false">IF($A18="","",C18*F18)</f>
        <v/>
      </c>
      <c r="I18" s="7" t="str">
        <f aca="false">IF($A18="","",MIN(B18,C18))</f>
        <v/>
      </c>
    </row>
    <row r="19" customFormat="false" ht="15" hidden="false" customHeight="false" outlineLevel="0" collapsed="false">
      <c r="A19" s="20" t="str">
        <f aca="false">IF(Référentiel!A17="","",Référentiel!A17)</f>
        <v/>
      </c>
      <c r="B19" s="7" t="str">
        <f aca="false">IF($A19="","",INDEX(Référentiel!$B17:$F17,MATCH($B$3,Référentiel!$B$4:$F$4,0)))</f>
        <v/>
      </c>
      <c r="C19" s="7" t="str">
        <f aca="false">IF($A19="","",INDEX(Référentiel!$B17:$F17,MATCH($B$4,Référentiel!$B$4:$F$4,0)))</f>
        <v/>
      </c>
      <c r="D19" s="7" t="str">
        <f aca="false">IF($A19="","",IF(C19=0,"Non requise",IF(B19&gt;=C19,"Commune (suffisant)",IF(B19&gt;0,"À faire évoluer","À acquérir"))))</f>
        <v/>
      </c>
      <c r="E19" s="7" t="str">
        <f aca="false">IF($A19="","",MAX(0,C19-B19))</f>
        <v/>
      </c>
      <c r="F19" s="7" t="str">
        <f aca="false">IF($A19="","",Référentiel!$G17)</f>
        <v/>
      </c>
      <c r="G19" s="7" t="str">
        <f aca="false">IF($A19="","",E19*F19)</f>
        <v/>
      </c>
      <c r="H19" s="7" t="str">
        <f aca="false">IF($A19="","",C19*F19)</f>
        <v/>
      </c>
      <c r="I19" s="7" t="str">
        <f aca="false">IF($A19="","",MIN(B19,C19))</f>
        <v/>
      </c>
    </row>
    <row r="20" customFormat="false" ht="15" hidden="false" customHeight="false" outlineLevel="0" collapsed="false">
      <c r="A20" s="20" t="str">
        <f aca="false">IF(Référentiel!A18="","",Référentiel!A18)</f>
        <v/>
      </c>
      <c r="B20" s="7" t="str">
        <f aca="false">IF($A20="","",INDEX(Référentiel!$B18:$F18,MATCH($B$3,Référentiel!$B$4:$F$4,0)))</f>
        <v/>
      </c>
      <c r="C20" s="7" t="str">
        <f aca="false">IF($A20="","",INDEX(Référentiel!$B18:$F18,MATCH($B$4,Référentiel!$B$4:$F$4,0)))</f>
        <v/>
      </c>
      <c r="D20" s="7" t="str">
        <f aca="false">IF($A20="","",IF(C20=0,"Non requise",IF(B20&gt;=C20,"Commune (suffisant)",IF(B20&gt;0,"À faire évoluer","À acquérir"))))</f>
        <v/>
      </c>
      <c r="E20" s="7" t="str">
        <f aca="false">IF($A20="","",MAX(0,C20-B20))</f>
        <v/>
      </c>
      <c r="F20" s="7" t="str">
        <f aca="false">IF($A20="","",Référentiel!$G18)</f>
        <v/>
      </c>
      <c r="G20" s="7" t="str">
        <f aca="false">IF($A20="","",E20*F20)</f>
        <v/>
      </c>
      <c r="H20" s="7" t="str">
        <f aca="false">IF($A20="","",C20*F20)</f>
        <v/>
      </c>
      <c r="I20" s="7" t="str">
        <f aca="false">IF($A20="","",MIN(B20,C20))</f>
        <v/>
      </c>
    </row>
    <row r="22" customFormat="false" ht="15" hidden="false" customHeight="false" outlineLevel="0" collapsed="false">
      <c r="A22" s="20" t="s">
        <v>91</v>
      </c>
      <c r="B22" s="17" t="n">
        <f aca="false">COUNTIF(C7:C20,"&gt;0")</f>
        <v>10</v>
      </c>
    </row>
    <row r="23" customFormat="false" ht="15" hidden="false" customHeight="false" outlineLevel="0" collapsed="false">
      <c r="A23" s="20" t="s">
        <v>92</v>
      </c>
      <c r="B23" s="17" t="n">
        <f aca="false">COUNTIF(D7:D20,"Commune (suffisant)")</f>
        <v>2</v>
      </c>
    </row>
    <row r="24" customFormat="false" ht="15" hidden="false" customHeight="false" outlineLevel="0" collapsed="false">
      <c r="A24" s="20" t="s">
        <v>93</v>
      </c>
      <c r="B24" s="17" t="n">
        <f aca="false">COUNTIF(D7:D20,"À faire évoluer")</f>
        <v>5</v>
      </c>
    </row>
    <row r="25" customFormat="false" ht="15" hidden="false" customHeight="false" outlineLevel="0" collapsed="false">
      <c r="A25" s="20" t="s">
        <v>94</v>
      </c>
      <c r="B25" s="17" t="n">
        <f aca="false">COUNTIF(D7:D20,"À acquérir")</f>
        <v>3</v>
      </c>
    </row>
    <row r="26" customFormat="false" ht="15" hidden="false" customHeight="false" outlineLevel="0" collapsed="false">
      <c r="A26" s="20" t="s">
        <v>95</v>
      </c>
      <c r="B26" s="16" t="n">
        <f aca="false">IF(B22=0,0,B23/B22)</f>
        <v>0.2</v>
      </c>
    </row>
    <row r="27" customFormat="false" ht="15" hidden="false" customHeight="false" outlineLevel="0" collapsed="false">
      <c r="A27" s="20" t="s">
        <v>96</v>
      </c>
      <c r="B27" s="16" t="n">
        <f aca="false">IF(SUM(C7:C20)=0,0,SUM(I7:I20)/SUM(C7:C20))</f>
        <v>0.382352941176471</v>
      </c>
    </row>
    <row r="28" customFormat="false" ht="15" hidden="false" customHeight="false" outlineLevel="0" collapsed="false">
      <c r="A28" s="20" t="s">
        <v>97</v>
      </c>
      <c r="B28" s="17" t="n">
        <f aca="false">SUM(E7:E20)</f>
        <v>21</v>
      </c>
    </row>
    <row r="29" customFormat="false" ht="15" hidden="false" customHeight="false" outlineLevel="0" collapsed="false">
      <c r="A29" s="20" t="s">
        <v>98</v>
      </c>
      <c r="B29" s="17" t="n">
        <f aca="false">SUM(G7:G20)</f>
        <v>56</v>
      </c>
    </row>
    <row r="30" customFormat="false" ht="15" hidden="false" customHeight="false" outlineLevel="0" collapsed="false">
      <c r="A30" s="20" t="s">
        <v>99</v>
      </c>
      <c r="B30" s="16" t="n">
        <f aca="false">IF(SUM(H7:H20)=0,0,1-B29/SUM(H7:H20))</f>
        <v>0.325301204819277</v>
      </c>
    </row>
    <row r="31" customFormat="false" ht="15" hidden="false" customHeight="false" outlineLevel="0" collapsed="false">
      <c r="A31" s="20" t="s">
        <v>100</v>
      </c>
      <c r="B31" s="21" t="str">
        <f aca="false">IF(MAX(G7:G20)=0,"Aucune",INDEX(A7:A20,MATCH(MAX(G7:G20),G7:G20,0)))</f>
        <v>Relations sociales (IRP)</v>
      </c>
    </row>
    <row r="32" customFormat="false" ht="15" hidden="false" customHeight="false" outlineLevel="0" collapsed="false">
      <c r="A32" s="20" t="s">
        <v>101</v>
      </c>
      <c r="B32" s="22" t="n">
        <v>0.75</v>
      </c>
    </row>
    <row r="33" customFormat="false" ht="15" hidden="false" customHeight="false" outlineLevel="0" collapsed="false">
      <c r="A33" s="20" t="s">
        <v>102</v>
      </c>
      <c r="B33" s="22" t="n">
        <v>0.5</v>
      </c>
    </row>
    <row r="34" customFormat="false" ht="15" hidden="false" customHeight="false" outlineLevel="0" collapsed="false">
      <c r="A34" s="20" t="s">
        <v>103</v>
      </c>
      <c r="B34" s="8" t="str">
        <f aca="false">IF($B$3=$B$4,"Même métier",IF(B27&gt;=B32,"Passerelle proche",IF(B27&gt;=B33,"Passerelle intermédiaire","Passerelle éloignée")))</f>
        <v>Passerelle éloignée</v>
      </c>
    </row>
    <row r="36" customFormat="false" ht="15" hidden="false" customHeight="false" outlineLevel="0" collapsed="false">
      <c r="A36" s="23" t="s">
        <v>104</v>
      </c>
    </row>
  </sheetData>
  <conditionalFormatting sqref="D7:D20">
    <cfRule type="expression" priority="2" aboveAverage="0" equalAverage="0" bottom="0" percent="0" rank="0" text="" dxfId="0">
      <formula>D7="Commune (suffisant)"</formula>
    </cfRule>
    <cfRule type="expression" priority="3" aboveAverage="0" equalAverage="0" bottom="0" percent="0" rank="0" text="" dxfId="1">
      <formula>D7="À faire évoluer"</formula>
    </cfRule>
    <cfRule type="expression" priority="4" aboveAverage="0" equalAverage="0" bottom="0" percent="0" rank="0" text="" dxfId="2">
      <formula>D7="À acquérir"</formula>
    </cfRule>
  </conditionalFormatting>
  <dataValidations count="1">
    <dataValidation allowBlank="false" errorStyle="stop" operator="between" showDropDown="false" showErrorMessage="false" showInputMessage="false" sqref="B3:B4" type="list">
      <formula1>Référentiel!$B$4:$F$4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7"/>
    <col collapsed="false" customWidth="true" hidden="false" outlineLevel="0" max="4" min="3" style="0" width="14"/>
    <col collapsed="false" customWidth="true" hidden="false" outlineLevel="0" max="6" min="5" style="0" width="16"/>
    <col collapsed="false" customWidth="true" hidden="false" outlineLevel="0" max="7" min="7" style="0" width="40"/>
    <col collapsed="false" customWidth="true" hidden="false" outlineLevel="0" max="8" min="8" style="0" width="26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14"/>
  </cols>
  <sheetData>
    <row r="1" customFormat="false" ht="17.35" hidden="false" customHeight="false" outlineLevel="0" collapsed="false">
      <c r="A1" s="4" t="s">
        <v>105</v>
      </c>
    </row>
    <row r="2" customFormat="false" ht="15" hidden="false" customHeight="false" outlineLevel="0" collapsed="false">
      <c r="A2" s="5" t="s">
        <v>106</v>
      </c>
    </row>
    <row r="3" customFormat="false" ht="15" hidden="false" customHeight="false" outlineLevel="0" collapsed="false">
      <c r="A3" s="18" t="s">
        <v>107</v>
      </c>
      <c r="B3" s="19" t="s">
        <v>108</v>
      </c>
    </row>
    <row r="4" customFormat="false" ht="15" hidden="false" customHeight="false" outlineLevel="0" collapsed="false">
      <c r="A4" s="18" t="s">
        <v>109</v>
      </c>
      <c r="B4" s="19" t="s">
        <v>54</v>
      </c>
    </row>
    <row r="5" customFormat="false" ht="15" hidden="false" customHeight="false" outlineLevel="0" collapsed="false">
      <c r="A5" s="18" t="s">
        <v>110</v>
      </c>
      <c r="B5" s="19" t="s">
        <v>58</v>
      </c>
    </row>
    <row r="7" customFormat="false" ht="57.75" hidden="false" customHeight="true" outlineLevel="0" collapsed="false">
      <c r="A7" s="6" t="s">
        <v>53</v>
      </c>
      <c r="B7" s="6" t="s">
        <v>111</v>
      </c>
      <c r="C7" s="6" t="s">
        <v>112</v>
      </c>
      <c r="D7" s="6" t="s">
        <v>113</v>
      </c>
      <c r="E7" s="6" t="s">
        <v>114</v>
      </c>
      <c r="F7" s="6" t="s">
        <v>115</v>
      </c>
      <c r="G7" s="6" t="s">
        <v>116</v>
      </c>
      <c r="H7" s="6" t="s">
        <v>117</v>
      </c>
      <c r="I7" s="6" t="s">
        <v>118</v>
      </c>
      <c r="J7" s="6" t="s">
        <v>119</v>
      </c>
      <c r="K7" s="6" t="s">
        <v>90</v>
      </c>
    </row>
    <row r="8" customFormat="false" ht="26.85" hidden="false" customHeight="false" outlineLevel="0" collapsed="false">
      <c r="A8" s="20" t="str">
        <f aca="false">IF(Référentiel!A5="","",Référentiel!A5)</f>
        <v>Administration du personnel</v>
      </c>
      <c r="B8" s="7" t="n">
        <f aca="false">IF($A8="","",INDEX(Référentiel!$B5:$F5,MATCH($B$4,Référentiel!$B$4:$F$4,0)))</f>
        <v>4</v>
      </c>
      <c r="C8" s="14" t="n">
        <v>4</v>
      </c>
      <c r="D8" s="14" t="n">
        <v>4</v>
      </c>
      <c r="E8" s="7" t="n">
        <f aca="false">IF(OR($A8="",C8="",D8=""),"",C8-D8)</f>
        <v>0</v>
      </c>
      <c r="F8" s="14" t="n">
        <v>4</v>
      </c>
      <c r="G8" s="24" t="s">
        <v>120</v>
      </c>
      <c r="H8" s="25" t="str">
        <f aca="false">IF($A8="","",IF(AND(E8&lt;&gt;"",ABS(E8)&gt;=2),"Écart ≥ 2 : à discuter",IF(AND(F8&lt;&gt;"",F8&gt;=3,G8=""),"Exemple concret requis","")))</f>
        <v/>
      </c>
      <c r="I8" s="7" t="n">
        <f aca="false">IF($A8="","",INDEX(Référentiel!$B5:$F5,MATCH($B$5,Référentiel!$B$4:$F$4,0)))</f>
        <v>3</v>
      </c>
      <c r="J8" s="7" t="str">
        <f aca="false">IF($A8="","",IF(I8=0,"Non requise",IF(F8="","À évaluer",IF(F8&gt;=I8,"Commune (suffisant)",IF(F8&gt;0,"À faire évoluer","À acquérir")))))</f>
        <v>Commune (suffisant)</v>
      </c>
      <c r="K8" s="7" t="n">
        <f aca="false">IF(OR($A8="",F8=""),"",MIN(F8,I8))</f>
        <v>3</v>
      </c>
    </row>
    <row r="9" customFormat="false" ht="26.85" hidden="false" customHeight="false" outlineLevel="0" collapsed="false">
      <c r="A9" s="20" t="str">
        <f aca="false">IF(Référentiel!A6="","",Référentiel!A6)</f>
        <v>Paie et déclarations sociales</v>
      </c>
      <c r="B9" s="7" t="n">
        <f aca="false">IF($A9="","",INDEX(Référentiel!$B6:$F6,MATCH($B$4,Référentiel!$B$4:$F$4,0)))</f>
        <v>2</v>
      </c>
      <c r="C9" s="14" t="n">
        <v>3</v>
      </c>
      <c r="D9" s="14" t="n">
        <v>3</v>
      </c>
      <c r="E9" s="7" t="n">
        <f aca="false">IF(OR($A9="",C9="",D9=""),"",C9-D9)</f>
        <v>0</v>
      </c>
      <c r="F9" s="14" t="n">
        <v>3</v>
      </c>
      <c r="G9" s="24" t="s">
        <v>121</v>
      </c>
      <c r="H9" s="25" t="str">
        <f aca="false">IF($A9="","",IF(AND(E9&lt;&gt;"",ABS(E9)&gt;=2),"Écart ≥ 2 : à discuter",IF(AND(F9&lt;&gt;"",F9&gt;=3,G9=""),"Exemple concret requis","")))</f>
        <v/>
      </c>
      <c r="I9" s="7" t="n">
        <f aca="false">IF($A9="","",INDEX(Référentiel!$B6:$F6,MATCH($B$5,Référentiel!$B$4:$F$4,0)))</f>
        <v>2</v>
      </c>
      <c r="J9" s="7" t="str">
        <f aca="false">IF($A9="","",IF(I9=0,"Non requise",IF(F9="","À évaluer",IF(F9&gt;=I9,"Commune (suffisant)",IF(F9&gt;0,"À faire évoluer","À acquérir")))))</f>
        <v>Commune (suffisant)</v>
      </c>
      <c r="K9" s="7" t="n">
        <f aca="false">IF(OR($A9="",F9=""),"",MIN(F9,I9))</f>
        <v>2</v>
      </c>
    </row>
    <row r="10" customFormat="false" ht="15" hidden="false" customHeight="false" outlineLevel="0" collapsed="false">
      <c r="A10" s="20" t="str">
        <f aca="false">IF(Référentiel!A7="","",Référentiel!A7)</f>
        <v>Recrutement et intégration</v>
      </c>
      <c r="B10" s="7" t="n">
        <f aca="false">IF($A10="","",INDEX(Référentiel!$B7:$F7,MATCH($B$4,Référentiel!$B$4:$F$4,0)))</f>
        <v>2</v>
      </c>
      <c r="C10" s="14" t="n">
        <v>3</v>
      </c>
      <c r="D10" s="14" t="n">
        <v>2</v>
      </c>
      <c r="E10" s="7" t="n">
        <f aca="false">IF(OR($A10="",C10="",D10=""),"",C10-D10)</f>
        <v>1</v>
      </c>
      <c r="F10" s="14" t="n">
        <v>2</v>
      </c>
      <c r="G10" s="24"/>
      <c r="H10" s="25" t="str">
        <f aca="false">IF($A10="","",IF(AND(E10&lt;&gt;"",ABS(E10)&gt;=2),"Écart ≥ 2 : à discuter",IF(AND(F10&lt;&gt;"",F10&gt;=3,G10=""),"Exemple concret requis","")))</f>
        <v/>
      </c>
      <c r="I10" s="7" t="n">
        <f aca="false">IF($A10="","",INDEX(Référentiel!$B7:$F7,MATCH($B$5,Référentiel!$B$4:$F$4,0)))</f>
        <v>3</v>
      </c>
      <c r="J10" s="7" t="str">
        <f aca="false">IF($A10="","",IF(I10=0,"Non requise",IF(F10="","À évaluer",IF(F10&gt;=I10,"Commune (suffisant)",IF(F10&gt;0,"À faire évoluer","À acquérir")))))</f>
        <v>À faire évoluer</v>
      </c>
      <c r="K10" s="7" t="n">
        <f aca="false">IF(OR($A10="",F10=""),"",MIN(F10,I10))</f>
        <v>2</v>
      </c>
    </row>
    <row r="11" customFormat="false" ht="15" hidden="false" customHeight="false" outlineLevel="0" collapsed="false">
      <c r="A11" s="20" t="str">
        <f aca="false">IF(Référentiel!A8="","",Référentiel!A8)</f>
        <v>Formation et développement des compétences</v>
      </c>
      <c r="B11" s="7" t="n">
        <f aca="false">IF($A11="","",INDEX(Référentiel!$B8:$F8,MATCH($B$4,Référentiel!$B$4:$F$4,0)))</f>
        <v>1</v>
      </c>
      <c r="C11" s="14" t="n">
        <v>2</v>
      </c>
      <c r="D11" s="14" t="n">
        <v>1</v>
      </c>
      <c r="E11" s="7" t="n">
        <f aca="false">IF(OR($A11="",C11="",D11=""),"",C11-D11)</f>
        <v>1</v>
      </c>
      <c r="F11" s="14" t="n">
        <v>1</v>
      </c>
      <c r="G11" s="24"/>
      <c r="H11" s="25" t="str">
        <f aca="false">IF($A11="","",IF(AND(E11&lt;&gt;"",ABS(E11)&gt;=2),"Écart ≥ 2 : à discuter",IF(AND(F11&lt;&gt;"",F11&gt;=3,G11=""),"Exemple concret requis","")))</f>
        <v/>
      </c>
      <c r="I11" s="7" t="n">
        <f aca="false">IF($A11="","",INDEX(Référentiel!$B8:$F8,MATCH($B$5,Référentiel!$B$4:$F$4,0)))</f>
        <v>3</v>
      </c>
      <c r="J11" s="7" t="str">
        <f aca="false">IF($A11="","",IF(I11=0,"Non requise",IF(F11="","À évaluer",IF(F11&gt;=I11,"Commune (suffisant)",IF(F11&gt;0,"À faire évoluer","À acquérir")))))</f>
        <v>À faire évoluer</v>
      </c>
      <c r="K11" s="7" t="n">
        <f aca="false">IF(OR($A11="",F11=""),"",MIN(F11,I11))</f>
        <v>1</v>
      </c>
    </row>
    <row r="12" customFormat="false" ht="15" hidden="false" customHeight="false" outlineLevel="0" collapsed="false">
      <c r="A12" s="20" t="str">
        <f aca="false">IF(Référentiel!A9="","",Référentiel!A9)</f>
        <v>Droit du travail</v>
      </c>
      <c r="B12" s="7" t="n">
        <f aca="false">IF($A12="","",INDEX(Référentiel!$B9:$F9,MATCH($B$4,Référentiel!$B$4:$F$4,0)))</f>
        <v>2</v>
      </c>
      <c r="C12" s="14" t="n">
        <v>3</v>
      </c>
      <c r="D12" s="14" t="n">
        <v>2</v>
      </c>
      <c r="E12" s="7" t="n">
        <f aca="false">IF(OR($A12="",C12="",D12=""),"",C12-D12)</f>
        <v>1</v>
      </c>
      <c r="F12" s="14" t="n">
        <v>2</v>
      </c>
      <c r="G12" s="24"/>
      <c r="H12" s="25" t="str">
        <f aca="false">IF($A12="","",IF(AND(E12&lt;&gt;"",ABS(E12)&gt;=2),"Écart ≥ 2 : à discuter",IF(AND(F12&lt;&gt;"",F12&gt;=3,G12=""),"Exemple concret requis","")))</f>
        <v/>
      </c>
      <c r="I12" s="7" t="n">
        <f aca="false">IF($A12="","",INDEX(Référentiel!$B9:$F9,MATCH($B$5,Référentiel!$B$4:$F$4,0)))</f>
        <v>4</v>
      </c>
      <c r="J12" s="7" t="str">
        <f aca="false">IF($A12="","",IF(I12=0,"Non requise",IF(F12="","À évaluer",IF(F12&gt;=I12,"Commune (suffisant)",IF(F12&gt;0,"À faire évoluer","À acquérir")))))</f>
        <v>À faire évoluer</v>
      </c>
      <c r="K12" s="7" t="n">
        <f aca="false">IF(OR($A12="",F12=""),"",MIN(F12,I12))</f>
        <v>2</v>
      </c>
    </row>
    <row r="13" customFormat="false" ht="15" hidden="false" customHeight="false" outlineLevel="0" collapsed="false">
      <c r="A13" s="20" t="str">
        <f aca="false">IF(Référentiel!A10="","",Référentiel!A10)</f>
        <v>Relations sociales (IRP)</v>
      </c>
      <c r="B13" s="7" t="n">
        <f aca="false">IF($A13="","",INDEX(Référentiel!$B10:$F10,MATCH($B$4,Référentiel!$B$4:$F$4,0)))</f>
        <v>0</v>
      </c>
      <c r="C13" s="14" t="n">
        <v>1</v>
      </c>
      <c r="D13" s="14" t="n">
        <v>1</v>
      </c>
      <c r="E13" s="7" t="n">
        <f aca="false">IF(OR($A13="",C13="",D13=""),"",C13-D13)</f>
        <v>0</v>
      </c>
      <c r="F13" s="14" t="n">
        <v>1</v>
      </c>
      <c r="G13" s="24"/>
      <c r="H13" s="25" t="str">
        <f aca="false">IF($A13="","",IF(AND(E13&lt;&gt;"",ABS(E13)&gt;=2),"Écart ≥ 2 : à discuter",IF(AND(F13&lt;&gt;"",F13&gt;=3,G13=""),"Exemple concret requis","")))</f>
        <v/>
      </c>
      <c r="I13" s="7" t="n">
        <f aca="false">IF($A13="","",INDEX(Référentiel!$B10:$F10,MATCH($B$5,Référentiel!$B$4:$F$4,0)))</f>
        <v>4</v>
      </c>
      <c r="J13" s="7" t="str">
        <f aca="false">IF($A13="","",IF(I13=0,"Non requise",IF(F13="","À évaluer",IF(F13&gt;=I13,"Commune (suffisant)",IF(F13&gt;0,"À faire évoluer","À acquérir")))))</f>
        <v>À faire évoluer</v>
      </c>
      <c r="K13" s="7" t="n">
        <f aca="false">IF(OR($A13="",F13=""),"",MIN(F13,I13))</f>
        <v>1</v>
      </c>
    </row>
    <row r="14" customFormat="false" ht="15" hidden="false" customHeight="false" outlineLevel="0" collapsed="false">
      <c r="A14" s="20" t="str">
        <f aca="false">IF(Référentiel!A11="","",Référentiel!A11)</f>
        <v>SIRH et analyse de données</v>
      </c>
      <c r="B14" s="7" t="n">
        <f aca="false">IF($A14="","",INDEX(Référentiel!$B11:$F11,MATCH($B$4,Référentiel!$B$4:$F$4,0)))</f>
        <v>2</v>
      </c>
      <c r="C14" s="14" t="n">
        <v>3</v>
      </c>
      <c r="D14" s="14" t="n">
        <v>2</v>
      </c>
      <c r="E14" s="7" t="n">
        <f aca="false">IF(OR($A14="",C14="",D14=""),"",C14-D14)</f>
        <v>1</v>
      </c>
      <c r="F14" s="14" t="n">
        <v>2</v>
      </c>
      <c r="G14" s="24"/>
      <c r="H14" s="25" t="str">
        <f aca="false">IF($A14="","",IF(AND(E14&lt;&gt;"",ABS(E14)&gt;=2),"Écart ≥ 2 : à discuter",IF(AND(F14&lt;&gt;"",F14&gt;=3,G14=""),"Exemple concret requis","")))</f>
        <v/>
      </c>
      <c r="I14" s="7" t="n">
        <f aca="false">IF($A14="","",INDEX(Référentiel!$B11:$F11,MATCH($B$5,Référentiel!$B$4:$F$4,0)))</f>
        <v>3</v>
      </c>
      <c r="J14" s="7" t="str">
        <f aca="false">IF($A14="","",IF(I14=0,"Non requise",IF(F14="","À évaluer",IF(F14&gt;=I14,"Commune (suffisant)",IF(F14&gt;0,"À faire évoluer","À acquérir")))))</f>
        <v>À faire évoluer</v>
      </c>
      <c r="K14" s="7" t="n">
        <f aca="false">IF(OR($A14="",F14=""),"",MIN(F14,I14))</f>
        <v>2</v>
      </c>
    </row>
    <row r="15" customFormat="false" ht="15" hidden="false" customHeight="false" outlineLevel="0" collapsed="false">
      <c r="A15" s="20" t="str">
        <f aca="false">IF(Référentiel!A12="","",Référentiel!A12)</f>
        <v>Conduite de projet RH</v>
      </c>
      <c r="B15" s="7" t="n">
        <f aca="false">IF($A15="","",INDEX(Référentiel!$B12:$F12,MATCH($B$4,Référentiel!$B$4:$F$4,0)))</f>
        <v>1</v>
      </c>
      <c r="C15" s="14" t="n">
        <v>2</v>
      </c>
      <c r="D15" s="14" t="n">
        <v>2</v>
      </c>
      <c r="E15" s="7" t="n">
        <f aca="false">IF(OR($A15="",C15="",D15=""),"",C15-D15)</f>
        <v>0</v>
      </c>
      <c r="F15" s="14" t="n">
        <v>2</v>
      </c>
      <c r="G15" s="24"/>
      <c r="H15" s="25" t="str">
        <f aca="false">IF($A15="","",IF(AND(E15&lt;&gt;"",ABS(E15)&gt;=2),"Écart ≥ 2 : à discuter",IF(AND(F15&lt;&gt;"",F15&gt;=3,G15=""),"Exemple concret requis","")))</f>
        <v/>
      </c>
      <c r="I15" s="7" t="n">
        <f aca="false">IF($A15="","",INDEX(Référentiel!$B12:$F12,MATCH($B$5,Référentiel!$B$4:$F$4,0)))</f>
        <v>4</v>
      </c>
      <c r="J15" s="7" t="str">
        <f aca="false">IF($A15="","",IF(I15=0,"Non requise",IF(F15="","À évaluer",IF(F15&gt;=I15,"Commune (suffisant)",IF(F15&gt;0,"À faire évoluer","À acquérir")))))</f>
        <v>À faire évoluer</v>
      </c>
      <c r="K15" s="7" t="n">
        <f aca="false">IF(OR($A15="",F15=""),"",MIN(F15,I15))</f>
        <v>2</v>
      </c>
    </row>
    <row r="16" customFormat="false" ht="15" hidden="false" customHeight="false" outlineLevel="0" collapsed="false">
      <c r="A16" s="20" t="str">
        <f aca="false">IF(Référentiel!A13="","",Référentiel!A13)</f>
        <v>Management d'équipe</v>
      </c>
      <c r="B16" s="7" t="n">
        <f aca="false">IF($A16="","",INDEX(Référentiel!$B13:$F13,MATCH($B$4,Référentiel!$B$4:$F$4,0)))</f>
        <v>0</v>
      </c>
      <c r="C16" s="14" t="n">
        <v>0</v>
      </c>
      <c r="D16" s="14" t="n">
        <v>0</v>
      </c>
      <c r="E16" s="7" t="n">
        <f aca="false">IF(OR($A16="",C16="",D16=""),"",C16-D16)</f>
        <v>0</v>
      </c>
      <c r="F16" s="14" t="n">
        <v>0</v>
      </c>
      <c r="G16" s="24"/>
      <c r="H16" s="25" t="str">
        <f aca="false">IF($A16="","",IF(AND(E16&lt;&gt;"",ABS(E16)&gt;=2),"Écart ≥ 2 : à discuter",IF(AND(F16&lt;&gt;"",F16&gt;=3,G16=""),"Exemple concret requis","")))</f>
        <v/>
      </c>
      <c r="I16" s="7" t="n">
        <f aca="false">IF($A16="","",INDEX(Référentiel!$B13:$F13,MATCH($B$5,Référentiel!$B$4:$F$4,0)))</f>
        <v>4</v>
      </c>
      <c r="J16" s="7" t="str">
        <f aca="false">IF($A16="","",IF(I16=0,"Non requise",IF(F16="","À évaluer",IF(F16&gt;=I16,"Commune (suffisant)",IF(F16&gt;0,"À faire évoluer","À acquérir")))))</f>
        <v>À acquérir</v>
      </c>
      <c r="K16" s="7" t="n">
        <f aca="false">IF(OR($A16="",F16=""),"",MIN(F16,I16))</f>
        <v>0</v>
      </c>
    </row>
    <row r="17" customFormat="false" ht="15" hidden="false" customHeight="false" outlineLevel="0" collapsed="false">
      <c r="A17" s="20" t="str">
        <f aca="false">IF(Référentiel!A14="","",Référentiel!A14)</f>
        <v>Pilotage et stratégie RH</v>
      </c>
      <c r="B17" s="7" t="n">
        <f aca="false">IF($A17="","",INDEX(Référentiel!$B14:$F14,MATCH($B$4,Référentiel!$B$4:$F$4,0)))</f>
        <v>0</v>
      </c>
      <c r="C17" s="14" t="n">
        <v>1</v>
      </c>
      <c r="D17" s="14" t="n">
        <v>0</v>
      </c>
      <c r="E17" s="7" t="n">
        <f aca="false">IF(OR($A17="",C17="",D17=""),"",C17-D17)</f>
        <v>1</v>
      </c>
      <c r="F17" s="14" t="n">
        <v>0</v>
      </c>
      <c r="G17" s="24"/>
      <c r="H17" s="25" t="str">
        <f aca="false">IF($A17="","",IF(AND(E17&lt;&gt;"",ABS(E17)&gt;=2),"Écart ≥ 2 : à discuter",IF(AND(F17&lt;&gt;"",F17&gt;=3,G17=""),"Exemple concret requis","")))</f>
        <v/>
      </c>
      <c r="I17" s="7" t="n">
        <f aca="false">IF($A17="","",INDEX(Référentiel!$B14:$F14,MATCH($B$5,Référentiel!$B$4:$F$4,0)))</f>
        <v>4</v>
      </c>
      <c r="J17" s="7" t="str">
        <f aca="false">IF($A17="","",IF(I17=0,"Non requise",IF(F17="","À évaluer",IF(F17&gt;=I17,"Commune (suffisant)",IF(F17&gt;0,"À faire évoluer","À acquérir")))))</f>
        <v>À acquérir</v>
      </c>
      <c r="K17" s="7" t="n">
        <f aca="false">IF(OR($A17="",F17=""),"",MIN(F17,I17))</f>
        <v>0</v>
      </c>
    </row>
    <row r="18" customFormat="false" ht="15" hidden="false" customHeight="false" outlineLevel="0" collapsed="false">
      <c r="A18" s="20" t="str">
        <f aca="false">IF(Référentiel!A15="","",Référentiel!A15)</f>
        <v/>
      </c>
      <c r="B18" s="7" t="str">
        <f aca="false">IF($A18="","",INDEX(Référentiel!$B15:$F15,MATCH($B$4,Référentiel!$B$4:$F$4,0)))</f>
        <v/>
      </c>
      <c r="C18" s="14"/>
      <c r="D18" s="14"/>
      <c r="E18" s="7" t="str">
        <f aca="false">IF(OR($A18="",C18="",D18=""),"",C18-D18)</f>
        <v/>
      </c>
      <c r="F18" s="14"/>
      <c r="G18" s="24"/>
      <c r="H18" s="25" t="str">
        <f aca="false">IF($A18="","",IF(AND(E18&lt;&gt;"",ABS(E18)&gt;=2),"Écart ≥ 2 : à discuter",IF(AND(F18&lt;&gt;"",F18&gt;=3,G18=""),"Exemple concret requis","")))</f>
        <v/>
      </c>
      <c r="I18" s="7" t="str">
        <f aca="false">IF($A18="","",INDEX(Référentiel!$B15:$F15,MATCH($B$5,Référentiel!$B$4:$F$4,0)))</f>
        <v/>
      </c>
      <c r="J18" s="7" t="str">
        <f aca="false">IF($A18="","",IF(I18=0,"Non requise",IF(F18="","À évaluer",IF(F18&gt;=I18,"Commune (suffisant)",IF(F18&gt;0,"À faire évoluer","À acquérir")))))</f>
        <v/>
      </c>
      <c r="K18" s="7" t="str">
        <f aca="false">IF(OR($A18="",F18=""),"",MIN(F18,I18))</f>
        <v/>
      </c>
    </row>
    <row r="19" customFormat="false" ht="15" hidden="false" customHeight="false" outlineLevel="0" collapsed="false">
      <c r="A19" s="20" t="str">
        <f aca="false">IF(Référentiel!A16="","",Référentiel!A16)</f>
        <v/>
      </c>
      <c r="B19" s="7" t="str">
        <f aca="false">IF($A19="","",INDEX(Référentiel!$B16:$F16,MATCH($B$4,Référentiel!$B$4:$F$4,0)))</f>
        <v/>
      </c>
      <c r="C19" s="14"/>
      <c r="D19" s="14"/>
      <c r="E19" s="7" t="str">
        <f aca="false">IF(OR($A19="",C19="",D19=""),"",C19-D19)</f>
        <v/>
      </c>
      <c r="F19" s="14"/>
      <c r="G19" s="24"/>
      <c r="H19" s="25" t="str">
        <f aca="false">IF($A19="","",IF(AND(E19&lt;&gt;"",ABS(E19)&gt;=2),"Écart ≥ 2 : à discuter",IF(AND(F19&lt;&gt;"",F19&gt;=3,G19=""),"Exemple concret requis","")))</f>
        <v/>
      </c>
      <c r="I19" s="7" t="str">
        <f aca="false">IF($A19="","",INDEX(Référentiel!$B16:$F16,MATCH($B$5,Référentiel!$B$4:$F$4,0)))</f>
        <v/>
      </c>
      <c r="J19" s="7" t="str">
        <f aca="false">IF($A19="","",IF(I19=0,"Non requise",IF(F19="","À évaluer",IF(F19&gt;=I19,"Commune (suffisant)",IF(F19&gt;0,"À faire évoluer","À acquérir")))))</f>
        <v/>
      </c>
      <c r="K19" s="7" t="str">
        <f aca="false">IF(OR($A19="",F19=""),"",MIN(F19,I19))</f>
        <v/>
      </c>
    </row>
    <row r="20" customFormat="false" ht="15" hidden="false" customHeight="false" outlineLevel="0" collapsed="false">
      <c r="A20" s="20" t="str">
        <f aca="false">IF(Référentiel!A17="","",Référentiel!A17)</f>
        <v/>
      </c>
      <c r="B20" s="7" t="str">
        <f aca="false">IF($A20="","",INDEX(Référentiel!$B17:$F17,MATCH($B$4,Référentiel!$B$4:$F$4,0)))</f>
        <v/>
      </c>
      <c r="C20" s="14"/>
      <c r="D20" s="14"/>
      <c r="E20" s="7" t="str">
        <f aca="false">IF(OR($A20="",C20="",D20=""),"",C20-D20)</f>
        <v/>
      </c>
      <c r="F20" s="14"/>
      <c r="G20" s="24"/>
      <c r="H20" s="25" t="str">
        <f aca="false">IF($A20="","",IF(AND(E20&lt;&gt;"",ABS(E20)&gt;=2),"Écart ≥ 2 : à discuter",IF(AND(F20&lt;&gt;"",F20&gt;=3,G20=""),"Exemple concret requis","")))</f>
        <v/>
      </c>
      <c r="I20" s="7" t="str">
        <f aca="false">IF($A20="","",INDEX(Référentiel!$B17:$F17,MATCH($B$5,Référentiel!$B$4:$F$4,0)))</f>
        <v/>
      </c>
      <c r="J20" s="7" t="str">
        <f aca="false">IF($A20="","",IF(I20=0,"Non requise",IF(F20="","À évaluer",IF(F20&gt;=I20,"Commune (suffisant)",IF(F20&gt;0,"À faire évoluer","À acquérir")))))</f>
        <v/>
      </c>
      <c r="K20" s="7" t="str">
        <f aca="false">IF(OR($A20="",F20=""),"",MIN(F20,I20))</f>
        <v/>
      </c>
    </row>
    <row r="21" customFormat="false" ht="15" hidden="false" customHeight="false" outlineLevel="0" collapsed="false">
      <c r="A21" s="20" t="str">
        <f aca="false">IF(Référentiel!A18="","",Référentiel!A18)</f>
        <v/>
      </c>
      <c r="B21" s="7" t="str">
        <f aca="false">IF($A21="","",INDEX(Référentiel!$B18:$F18,MATCH($B$4,Référentiel!$B$4:$F$4,0)))</f>
        <v/>
      </c>
      <c r="C21" s="14"/>
      <c r="D21" s="14"/>
      <c r="E21" s="7" t="str">
        <f aca="false">IF(OR($A21="",C21="",D21=""),"",C21-D21)</f>
        <v/>
      </c>
      <c r="F21" s="14"/>
      <c r="G21" s="24"/>
      <c r="H21" s="25" t="str">
        <f aca="false">IF($A21="","",IF(AND(E21&lt;&gt;"",ABS(E21)&gt;=2),"Écart ≥ 2 : à discuter",IF(AND(F21&lt;&gt;"",F21&gt;=3,G21=""),"Exemple concret requis","")))</f>
        <v/>
      </c>
      <c r="I21" s="7" t="str">
        <f aca="false">IF($A21="","",INDEX(Référentiel!$B18:$F18,MATCH($B$5,Référentiel!$B$4:$F$4,0)))</f>
        <v/>
      </c>
      <c r="J21" s="7" t="str">
        <f aca="false">IF($A21="","",IF(I21=0,"Non requise",IF(F21="","À évaluer",IF(F21&gt;=I21,"Commune (suffisant)",IF(F21&gt;0,"À faire évoluer","À acquérir")))))</f>
        <v/>
      </c>
      <c r="K21" s="7" t="str">
        <f aca="false">IF(OR($A21="",F21=""),"",MIN(F21,I21))</f>
        <v/>
      </c>
    </row>
    <row r="23" customFormat="false" ht="15" hidden="false" customHeight="false" outlineLevel="0" collapsed="false">
      <c r="A23" s="20" t="s">
        <v>122</v>
      </c>
      <c r="B23" s="17" t="n">
        <f aca="false">COUNTIF(I8:I21,"&gt;0")</f>
        <v>10</v>
      </c>
    </row>
    <row r="24" customFormat="false" ht="15" hidden="false" customHeight="false" outlineLevel="0" collapsed="false">
      <c r="A24" s="20" t="s">
        <v>92</v>
      </c>
      <c r="B24" s="17" t="n">
        <f aca="false">COUNTIF(J8:J21,"Commune (suffisant)")</f>
        <v>2</v>
      </c>
    </row>
    <row r="25" customFormat="false" ht="15" hidden="false" customHeight="false" outlineLevel="0" collapsed="false">
      <c r="A25" s="20" t="s">
        <v>93</v>
      </c>
      <c r="B25" s="17" t="n">
        <f aca="false">COUNTIF(J8:J21,"À faire évoluer")</f>
        <v>6</v>
      </c>
    </row>
    <row r="26" customFormat="false" ht="15" hidden="false" customHeight="false" outlineLevel="0" collapsed="false">
      <c r="A26" s="20" t="s">
        <v>94</v>
      </c>
      <c r="B26" s="17" t="n">
        <f aca="false">COUNTIF(J8:J21,"À acquérir")</f>
        <v>2</v>
      </c>
    </row>
    <row r="27" customFormat="false" ht="15" hidden="false" customHeight="false" outlineLevel="0" collapsed="false">
      <c r="A27" s="20" t="s">
        <v>123</v>
      </c>
      <c r="B27" s="17" t="n">
        <f aca="false">COUNTIF(J8:J21,"À évaluer")</f>
        <v>0</v>
      </c>
    </row>
    <row r="28" customFormat="false" ht="15" hidden="false" customHeight="false" outlineLevel="0" collapsed="false">
      <c r="A28" s="20" t="s">
        <v>95</v>
      </c>
      <c r="B28" s="16" t="n">
        <f aca="false">IF(B23=0,0,B24/B23)</f>
        <v>0.2</v>
      </c>
    </row>
    <row r="29" customFormat="false" ht="15" hidden="false" customHeight="false" outlineLevel="0" collapsed="false">
      <c r="A29" s="20" t="s">
        <v>96</v>
      </c>
      <c r="B29" s="16" t="n">
        <f aca="false">IF(SUM(I8:I21)=0,0,SUM(K8:K21)/SUM(I8:I21))</f>
        <v>0.441176470588235</v>
      </c>
    </row>
    <row r="31" customFormat="false" ht="15" hidden="false" customHeight="false" outlineLevel="0" collapsed="false">
      <c r="A31" s="23" t="s">
        <v>124</v>
      </c>
    </row>
  </sheetData>
  <conditionalFormatting sqref="J8:J21">
    <cfRule type="expression" priority="2" aboveAverage="0" equalAverage="0" bottom="0" percent="0" rank="0" text="" dxfId="0">
      <formula>J8="Commune (suffisant)"</formula>
    </cfRule>
    <cfRule type="expression" priority="3" aboveAverage="0" equalAverage="0" bottom="0" percent="0" rank="0" text="" dxfId="1">
      <formula>J8="À faire évoluer"</formula>
    </cfRule>
    <cfRule type="expression" priority="4" aboveAverage="0" equalAverage="0" bottom="0" percent="0" rank="0" text="" dxfId="2">
      <formula>J8="À acquérir"</formula>
    </cfRule>
  </conditionalFormatting>
  <conditionalFormatting sqref="H8:H21">
    <cfRule type="expression" priority="5" aboveAverage="0" equalAverage="0" bottom="0" percent="0" rank="0" text="" dxfId="1">
      <formula>H8&lt;&gt;""</formula>
    </cfRule>
  </conditionalFormatting>
  <dataValidations count="2">
    <dataValidation allowBlank="true" error="Saisir un entier de 0 à 4." errorStyle="stop" errorTitle="Niveau" operator="between" showDropDown="false" showErrorMessage="true" showInputMessage="false" sqref="C8:D21 F8:F21" type="whole">
      <formula1>0</formula1>
      <formula2>4</formula2>
    </dataValidation>
    <dataValidation allowBlank="false" errorStyle="stop" operator="between" showDropDown="false" showErrorMessage="false" showInputMessage="false" sqref="B4:B5" type="list">
      <formula1>Référentiel!$B$4:$F$4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2026-11-03T15:00:52Z</dcterms:created>
  <dc:creator>openpyxl</dc:creator>
  <dc:description/>
  <dc:language>en-US</dc:language>
  <cp:lastModifiedBy/>
  <dcterms:modified xsi:type="dcterms:W3CDTF">2026-11-03T16:00:52Z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